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9C47EA02-A8CF-F845-92E3-1960C19F6DA7}" xr6:coauthVersionLast="47" xr6:coauthVersionMax="47" xr10:uidLastSave="{00000000-0000-0000-0000-000000000000}"/>
  <bookViews>
    <workbookView xWindow="8120" yWindow="500" windowWidth="31200" windowHeight="23520" xr2:uid="{00000000-000D-0000-FFFF-FFFF00000000}"/>
  </bookViews>
  <sheets>
    <sheet name="Introduction" sheetId="9" r:id="rId1"/>
    <sheet name="Equinoxes, Solstices (Meeus)" sheetId="17" r:id="rId2"/>
    <sheet name="Other models" sheetId="19" r:id="rId3"/>
    <sheet name="Equinoxes, Solstices (Model 2)" sheetId="20" r:id="rId4"/>
    <sheet name="Background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20" l="1"/>
  <c r="C10" i="20"/>
  <c r="C11" i="20" s="1"/>
  <c r="C13" i="20"/>
  <c r="B40" i="20"/>
  <c r="B41" i="20"/>
  <c r="B42" i="20"/>
  <c r="C50" i="20"/>
  <c r="C54" i="20"/>
  <c r="C55" i="20"/>
  <c r="C57" i="20"/>
  <c r="B84" i="20"/>
  <c r="B85" i="20"/>
  <c r="B86" i="20"/>
  <c r="C93" i="20"/>
  <c r="C97" i="20"/>
  <c r="C98" i="20" s="1"/>
  <c r="C100" i="20"/>
  <c r="B127" i="20"/>
  <c r="B128" i="20"/>
  <c r="B129" i="20"/>
  <c r="C136" i="20"/>
  <c r="C140" i="20"/>
  <c r="C141" i="20" s="1"/>
  <c r="C143" i="20"/>
  <c r="B170" i="20"/>
  <c r="B171" i="20"/>
  <c r="B172" i="20"/>
  <c r="C6" i="19"/>
  <c r="G6" i="19"/>
  <c r="C10" i="19"/>
  <c r="C11" i="19" s="1"/>
  <c r="C14" i="19" s="1"/>
  <c r="G10" i="19"/>
  <c r="G11" i="19" s="1"/>
  <c r="G14" i="19" s="1"/>
  <c r="C13" i="19"/>
  <c r="G13" i="19"/>
  <c r="C16" i="19"/>
  <c r="C4" i="17"/>
  <c r="C16" i="17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D34" i="17" s="1"/>
  <c r="D35" i="17" s="1"/>
  <c r="D36" i="17" s="1"/>
  <c r="D37" i="17" s="1"/>
  <c r="D38" i="17" s="1"/>
  <c r="D39" i="17" s="1"/>
  <c r="D40" i="17" s="1"/>
  <c r="D41" i="17" s="1"/>
  <c r="D42" i="17" s="1"/>
  <c r="B13" i="17"/>
  <c r="C14" i="20" l="1"/>
  <c r="C58" i="20"/>
  <c r="C144" i="20"/>
  <c r="C101" i="20"/>
  <c r="G25" i="19"/>
  <c r="G17" i="19"/>
  <c r="C24" i="19"/>
  <c r="C25" i="19" s="1"/>
  <c r="C17" i="19"/>
  <c r="D43" i="17"/>
  <c r="E15" i="17"/>
  <c r="S6" i="17"/>
  <c r="S7" i="17"/>
  <c r="V10" i="17" s="1"/>
  <c r="C153" i="20" l="1"/>
  <c r="C145" i="20"/>
  <c r="C110" i="20"/>
  <c r="C102" i="20"/>
  <c r="C67" i="20"/>
  <c r="C59" i="20"/>
  <c r="C15" i="20"/>
  <c r="C23" i="20"/>
  <c r="G18" i="19"/>
  <c r="G38" i="19"/>
  <c r="G39" i="19" s="1"/>
  <c r="C38" i="19"/>
  <c r="C39" i="19" s="1"/>
  <c r="C18" i="19"/>
  <c r="C32" i="19"/>
  <c r="C33" i="19" s="1"/>
  <c r="G32" i="19"/>
  <c r="G33" i="19" s="1"/>
  <c r="G24" i="19"/>
  <c r="V11" i="17"/>
  <c r="V12" i="17" s="1"/>
  <c r="V13" i="17" s="1"/>
  <c r="AH31" i="17"/>
  <c r="S10" i="17"/>
  <c r="T10" i="17"/>
  <c r="U10" i="17"/>
  <c r="C25" i="20" l="1"/>
  <c r="C26" i="20" s="1"/>
  <c r="C22" i="20"/>
  <c r="C109" i="20"/>
  <c r="C112" i="20"/>
  <c r="C113" i="20" s="1"/>
  <c r="C31" i="20"/>
  <c r="C32" i="20" s="1"/>
  <c r="C16" i="20"/>
  <c r="C66" i="20"/>
  <c r="C69" i="20"/>
  <c r="C70" i="20" s="1"/>
  <c r="C161" i="20"/>
  <c r="C162" i="20" s="1"/>
  <c r="C146" i="20"/>
  <c r="C60" i="20"/>
  <c r="C75" i="20"/>
  <c r="C76" i="20" s="1"/>
  <c r="C103" i="20"/>
  <c r="C118" i="20"/>
  <c r="C119" i="20" s="1"/>
  <c r="C152" i="20"/>
  <c r="C155" i="20"/>
  <c r="C156" i="20" s="1"/>
  <c r="G36" i="19"/>
  <c r="G34" i="19"/>
  <c r="G35" i="19" s="1"/>
  <c r="C36" i="19"/>
  <c r="C34" i="19"/>
  <c r="C35" i="19" s="1"/>
  <c r="C19" i="19"/>
  <c r="C20" i="19"/>
  <c r="G19" i="19"/>
  <c r="G20" i="19"/>
  <c r="AH20" i="17"/>
  <c r="AH19" i="17"/>
  <c r="AH11" i="17"/>
  <c r="AH10" i="17"/>
  <c r="AH27" i="17"/>
  <c r="AH28" i="17"/>
  <c r="AH23" i="17"/>
  <c r="AH12" i="17"/>
  <c r="AH32" i="17"/>
  <c r="AH18" i="17"/>
  <c r="AH26" i="17"/>
  <c r="AH15" i="17"/>
  <c r="AH16" i="17"/>
  <c r="AH14" i="17"/>
  <c r="AH22" i="17"/>
  <c r="AH30" i="17"/>
  <c r="AH24" i="17"/>
  <c r="AH21" i="17"/>
  <c r="AH25" i="17"/>
  <c r="AH29" i="17"/>
  <c r="AH33" i="17"/>
  <c r="AH17" i="17"/>
  <c r="AH13" i="17"/>
  <c r="U11" i="17"/>
  <c r="T11" i="17"/>
  <c r="S11" i="17"/>
  <c r="C61" i="20" l="1"/>
  <c r="C62" i="20"/>
  <c r="C116" i="20"/>
  <c r="C114" i="20"/>
  <c r="C115" i="20" s="1"/>
  <c r="C128" i="20"/>
  <c r="K93" i="20"/>
  <c r="K94" i="20" s="1"/>
  <c r="C148" i="20"/>
  <c r="C147" i="20"/>
  <c r="C73" i="20"/>
  <c r="C71" i="20"/>
  <c r="C72" i="20" s="1"/>
  <c r="C157" i="20"/>
  <c r="C158" i="20" s="1"/>
  <c r="C159" i="20"/>
  <c r="C104" i="20"/>
  <c r="C105" i="20"/>
  <c r="K6" i="20"/>
  <c r="K7" i="20" s="1"/>
  <c r="C41" i="20"/>
  <c r="K50" i="20"/>
  <c r="K51" i="20" s="1"/>
  <c r="C85" i="20"/>
  <c r="C171" i="20"/>
  <c r="K136" i="20"/>
  <c r="K137" i="20" s="1"/>
  <c r="C18" i="20"/>
  <c r="C17" i="20"/>
  <c r="C27" i="20"/>
  <c r="C28" i="20" s="1"/>
  <c r="C29" i="20"/>
  <c r="G21" i="19"/>
  <c r="G22" i="19"/>
  <c r="G23" i="19" s="1"/>
  <c r="C21" i="19"/>
  <c r="C22" i="19"/>
  <c r="C23" i="19" s="1"/>
  <c r="C37" i="19"/>
  <c r="C40" i="19"/>
  <c r="C41" i="19" s="1"/>
  <c r="G40" i="19"/>
  <c r="G41" i="19" s="1"/>
  <c r="G37" i="19"/>
  <c r="AE10" i="17"/>
  <c r="AE11" i="17"/>
  <c r="AE26" i="17"/>
  <c r="AE20" i="17"/>
  <c r="AE27" i="17"/>
  <c r="AE21" i="17"/>
  <c r="AE28" i="17"/>
  <c r="AE22" i="17"/>
  <c r="AE13" i="17"/>
  <c r="AE23" i="17"/>
  <c r="AE29" i="17"/>
  <c r="AE24" i="17"/>
  <c r="AE14" i="17"/>
  <c r="AE25" i="17"/>
  <c r="AE30" i="17"/>
  <c r="AE12" i="17"/>
  <c r="AE15" i="17"/>
  <c r="AE31" i="17"/>
  <c r="AE16" i="17"/>
  <c r="AE32" i="17"/>
  <c r="AE17" i="17"/>
  <c r="AE33" i="17"/>
  <c r="AE18" i="17"/>
  <c r="AE19" i="17"/>
  <c r="AH34" i="17"/>
  <c r="V14" i="17" s="1"/>
  <c r="V15" i="17" s="1"/>
  <c r="V59" i="17" s="1"/>
  <c r="T12" i="17"/>
  <c r="T13" i="17" s="1"/>
  <c r="AF24" i="17"/>
  <c r="AF13" i="17"/>
  <c r="AF33" i="17"/>
  <c r="AF28" i="17"/>
  <c r="AF21" i="17"/>
  <c r="AF12" i="17"/>
  <c r="AF17" i="17"/>
  <c r="AF20" i="17"/>
  <c r="AF29" i="17"/>
  <c r="AF16" i="17"/>
  <c r="AF32" i="17"/>
  <c r="AF25" i="17"/>
  <c r="AF30" i="17"/>
  <c r="AF26" i="17"/>
  <c r="AF22" i="17"/>
  <c r="AF18" i="17"/>
  <c r="AF14" i="17"/>
  <c r="AF27" i="17"/>
  <c r="AF31" i="17"/>
  <c r="AF11" i="17"/>
  <c r="AF15" i="17"/>
  <c r="AF10" i="17"/>
  <c r="AF19" i="17"/>
  <c r="AF23" i="17"/>
  <c r="U12" i="17"/>
  <c r="U13" i="17" s="1"/>
  <c r="AG33" i="17"/>
  <c r="AG28" i="17"/>
  <c r="AG17" i="17"/>
  <c r="AG24" i="17"/>
  <c r="AG21" i="17"/>
  <c r="AG20" i="17"/>
  <c r="AG32" i="17"/>
  <c r="AG29" i="17"/>
  <c r="AG16" i="17"/>
  <c r="AG25" i="17"/>
  <c r="AG19" i="17"/>
  <c r="AG13" i="17"/>
  <c r="AG12" i="17"/>
  <c r="AG23" i="17"/>
  <c r="AG31" i="17"/>
  <c r="AG15" i="17"/>
  <c r="AG30" i="17"/>
  <c r="AG26" i="17"/>
  <c r="AG22" i="17"/>
  <c r="AG27" i="17"/>
  <c r="AG18" i="17"/>
  <c r="AG11" i="17"/>
  <c r="AG14" i="17"/>
  <c r="AG10" i="17"/>
  <c r="S12" i="17"/>
  <c r="S13" i="17" s="1"/>
  <c r="K8" i="20" l="1"/>
  <c r="G136" i="20"/>
  <c r="G137" i="20" s="1"/>
  <c r="C170" i="20"/>
  <c r="G93" i="20"/>
  <c r="G94" i="20" s="1"/>
  <c r="C127" i="20"/>
  <c r="C74" i="20"/>
  <c r="C77" i="20"/>
  <c r="C78" i="20" s="1"/>
  <c r="K95" i="20"/>
  <c r="C120" i="20"/>
  <c r="C121" i="20" s="1"/>
  <c r="C117" i="20"/>
  <c r="C107" i="20"/>
  <c r="C108" i="20" s="1"/>
  <c r="C106" i="20"/>
  <c r="C84" i="20"/>
  <c r="G50" i="20"/>
  <c r="G51" i="20" s="1"/>
  <c r="C33" i="20"/>
  <c r="C34" i="20" s="1"/>
  <c r="C30" i="20"/>
  <c r="C150" i="20"/>
  <c r="C151" i="20" s="1"/>
  <c r="C149" i="20"/>
  <c r="K138" i="20"/>
  <c r="C63" i="20"/>
  <c r="C64" i="20"/>
  <c r="C65" i="20" s="1"/>
  <c r="C163" i="20"/>
  <c r="C164" i="20" s="1"/>
  <c r="C160" i="20"/>
  <c r="C40" i="20"/>
  <c r="G6" i="20"/>
  <c r="G7" i="20" s="1"/>
  <c r="C19" i="20"/>
  <c r="C20" i="20"/>
  <c r="C21" i="20" s="1"/>
  <c r="K52" i="20"/>
  <c r="G27" i="19"/>
  <c r="G28" i="19" s="1"/>
  <c r="C28" i="19"/>
  <c r="C27" i="19"/>
  <c r="AE34" i="17"/>
  <c r="S14" i="17" s="1"/>
  <c r="S15" i="17" s="1"/>
  <c r="V16" i="17"/>
  <c r="V23" i="17" s="1"/>
  <c r="V24" i="17" s="1"/>
  <c r="V25" i="17" s="1"/>
  <c r="V26" i="17" s="1"/>
  <c r="V19" i="17" s="1"/>
  <c r="V22" i="17"/>
  <c r="V20" i="17"/>
  <c r="AG34" i="17"/>
  <c r="U14" i="17" s="1"/>
  <c r="U15" i="17" s="1"/>
  <c r="AF34" i="17"/>
  <c r="T14" i="17" s="1"/>
  <c r="T15" i="17" s="1"/>
  <c r="G52" i="20" l="1"/>
  <c r="G8" i="20"/>
  <c r="C86" i="20"/>
  <c r="O50" i="20"/>
  <c r="O51" i="20" s="1"/>
  <c r="K61" i="20"/>
  <c r="K53" i="20"/>
  <c r="K54" i="20" s="1"/>
  <c r="K96" i="20"/>
  <c r="K97" i="20" s="1"/>
  <c r="K104" i="20"/>
  <c r="K147" i="20"/>
  <c r="K139" i="20"/>
  <c r="K140" i="20" s="1"/>
  <c r="G138" i="20"/>
  <c r="O93" i="20"/>
  <c r="O94" i="20" s="1"/>
  <c r="C129" i="20"/>
  <c r="O6" i="20"/>
  <c r="O7" i="20" s="1"/>
  <c r="C42" i="20"/>
  <c r="K17" i="20"/>
  <c r="K9" i="20"/>
  <c r="K10" i="20" s="1"/>
  <c r="C172" i="20"/>
  <c r="O136" i="20"/>
  <c r="O137" i="20" s="1"/>
  <c r="G95" i="20"/>
  <c r="V18" i="17"/>
  <c r="V17" i="17" s="1"/>
  <c r="C10" i="17" s="1"/>
  <c r="V21" i="17"/>
  <c r="D10" i="17" s="1"/>
  <c r="S59" i="17"/>
  <c r="S16" i="17"/>
  <c r="S23" i="17" s="1"/>
  <c r="S24" i="17" s="1"/>
  <c r="S25" i="17" s="1"/>
  <c r="S26" i="17" s="1"/>
  <c r="T59" i="17"/>
  <c r="T16" i="17"/>
  <c r="T23" i="17" s="1"/>
  <c r="T24" i="17" s="1"/>
  <c r="T25" i="17" s="1"/>
  <c r="T26" i="17" s="1"/>
  <c r="U59" i="17"/>
  <c r="U16" i="17"/>
  <c r="U23" i="17" s="1"/>
  <c r="U24" i="17" s="1"/>
  <c r="U25" i="17" s="1"/>
  <c r="U26" i="17" s="1"/>
  <c r="K141" i="20" l="1"/>
  <c r="K142" i="20"/>
  <c r="K98" i="20"/>
  <c r="K99" i="20"/>
  <c r="G104" i="20"/>
  <c r="G96" i="20"/>
  <c r="G97" i="20" s="1"/>
  <c r="G17" i="20"/>
  <c r="G9" i="20"/>
  <c r="G10" i="20" s="1"/>
  <c r="G139" i="20"/>
  <c r="G140" i="20" s="1"/>
  <c r="G147" i="20"/>
  <c r="K146" i="20"/>
  <c r="K55" i="20"/>
  <c r="K56" i="20"/>
  <c r="O138" i="20"/>
  <c r="O52" i="20"/>
  <c r="G61" i="20"/>
  <c r="G53" i="20"/>
  <c r="G54" i="20" s="1"/>
  <c r="O95" i="20"/>
  <c r="K103" i="20"/>
  <c r="K60" i="20"/>
  <c r="K11" i="20"/>
  <c r="K12" i="20"/>
  <c r="K16" i="20"/>
  <c r="O8" i="20"/>
  <c r="U19" i="17"/>
  <c r="U18" i="17"/>
  <c r="U17" i="17" s="1"/>
  <c r="U22" i="17"/>
  <c r="U20" i="17"/>
  <c r="T19" i="17"/>
  <c r="T18" i="17"/>
  <c r="T17" i="17" s="1"/>
  <c r="T22" i="17"/>
  <c r="T20" i="17"/>
  <c r="S19" i="17"/>
  <c r="S18" i="17"/>
  <c r="S17" i="17" s="1"/>
  <c r="S22" i="17"/>
  <c r="S20" i="17"/>
  <c r="K57" i="20" l="1"/>
  <c r="K58" i="20"/>
  <c r="K59" i="20" s="1"/>
  <c r="G103" i="20"/>
  <c r="O147" i="20"/>
  <c r="O139" i="20"/>
  <c r="O140" i="20" s="1"/>
  <c r="K13" i="20"/>
  <c r="K14" i="20"/>
  <c r="K15" i="20" s="1"/>
  <c r="G141" i="20"/>
  <c r="G142" i="20"/>
  <c r="G98" i="20"/>
  <c r="G99" i="20"/>
  <c r="G55" i="20"/>
  <c r="G56" i="20"/>
  <c r="K100" i="20"/>
  <c r="K101" i="20"/>
  <c r="K102" i="20" s="1"/>
  <c r="O17" i="20"/>
  <c r="O9" i="20"/>
  <c r="O10" i="20" s="1"/>
  <c r="G146" i="20"/>
  <c r="G16" i="20"/>
  <c r="O104" i="20"/>
  <c r="O96" i="20"/>
  <c r="O97" i="20" s="1"/>
  <c r="O61" i="20"/>
  <c r="O53" i="20"/>
  <c r="O54" i="20" s="1"/>
  <c r="K143" i="20"/>
  <c r="K144" i="20"/>
  <c r="K145" i="20" s="1"/>
  <c r="G11" i="20"/>
  <c r="G12" i="20"/>
  <c r="G60" i="20"/>
  <c r="C9" i="17"/>
  <c r="C8" i="17"/>
  <c r="C7" i="17"/>
  <c r="S21" i="17"/>
  <c r="D7" i="17" s="1"/>
  <c r="T21" i="17"/>
  <c r="D8" i="17" s="1"/>
  <c r="U21" i="17"/>
  <c r="D9" i="17" s="1"/>
  <c r="G14" i="20" l="1"/>
  <c r="G15" i="20" s="1"/>
  <c r="G13" i="20"/>
  <c r="O60" i="20"/>
  <c r="K148" i="20"/>
  <c r="D171" i="20" s="1"/>
  <c r="G100" i="20"/>
  <c r="G101" i="20"/>
  <c r="G102" i="20" s="1"/>
  <c r="O103" i="20"/>
  <c r="O146" i="20"/>
  <c r="K105" i="20"/>
  <c r="D128" i="20" s="1"/>
  <c r="G58" i="20"/>
  <c r="G59" i="20" s="1"/>
  <c r="G57" i="20"/>
  <c r="O55" i="20"/>
  <c r="O56" i="20"/>
  <c r="G143" i="20"/>
  <c r="G144" i="20"/>
  <c r="G145" i="20" s="1"/>
  <c r="K18" i="20"/>
  <c r="D41" i="20" s="1"/>
  <c r="O11" i="20"/>
  <c r="O12" i="20"/>
  <c r="K62" i="20"/>
  <c r="D85" i="20" s="1"/>
  <c r="O98" i="20"/>
  <c r="O99" i="20"/>
  <c r="O141" i="20"/>
  <c r="O142" i="20"/>
  <c r="O16" i="20"/>
  <c r="E7" i="17"/>
  <c r="E10" i="17"/>
  <c r="E8" i="17"/>
  <c r="E9" i="17"/>
  <c r="E16" i="17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F15" i="17" s="1"/>
  <c r="F16" i="17" s="1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F41" i="17" s="1"/>
  <c r="F42" i="17" s="1"/>
  <c r="F43" i="17" s="1"/>
  <c r="F4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I43" i="17" s="1"/>
  <c r="I44" i="17" s="1"/>
  <c r="I45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J35" i="17" s="1"/>
  <c r="J36" i="17" s="1"/>
  <c r="J37" i="17" s="1"/>
  <c r="J38" i="17" s="1"/>
  <c r="J39" i="17" s="1"/>
  <c r="J40" i="17" s="1"/>
  <c r="J41" i="17" s="1"/>
  <c r="J42" i="17" s="1"/>
  <c r="J43" i="17" s="1"/>
  <c r="J44" i="17" s="1"/>
  <c r="J45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L40" i="17" s="1"/>
  <c r="L41" i="17" s="1"/>
  <c r="L42" i="17" s="1"/>
  <c r="L43" i="17" s="1"/>
  <c r="L44" i="17" s="1"/>
  <c r="L45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N41" i="17" s="1"/>
  <c r="N42" i="17" s="1"/>
  <c r="N43" i="17" s="1"/>
  <c r="N44" i="17" s="1"/>
  <c r="N45" i="17" s="1"/>
  <c r="G62" i="20" l="1"/>
  <c r="D84" i="20" s="1"/>
  <c r="K149" i="20"/>
  <c r="E171" i="20" s="1"/>
  <c r="O143" i="20"/>
  <c r="O144" i="20"/>
  <c r="O145" i="20" s="1"/>
  <c r="K106" i="20"/>
  <c r="E128" i="20" s="1"/>
  <c r="K63" i="20"/>
  <c r="E85" i="20" s="1"/>
  <c r="O14" i="20"/>
  <c r="O15" i="20" s="1"/>
  <c r="O13" i="20"/>
  <c r="O100" i="20"/>
  <c r="O101" i="20"/>
  <c r="O102" i="20" s="1"/>
  <c r="G105" i="20"/>
  <c r="D127" i="20" s="1"/>
  <c r="K19" i="20"/>
  <c r="E41" i="20" s="1"/>
  <c r="G148" i="20"/>
  <c r="D170" i="20" s="1"/>
  <c r="O58" i="20"/>
  <c r="O59" i="20" s="1"/>
  <c r="O57" i="20"/>
  <c r="G18" i="20"/>
  <c r="D40" i="20" s="1"/>
  <c r="G106" i="20" l="1"/>
  <c r="E127" i="20" s="1"/>
  <c r="O148" i="20"/>
  <c r="D172" i="20" s="1"/>
  <c r="O105" i="20"/>
  <c r="D129" i="20" s="1"/>
  <c r="O18" i="20"/>
  <c r="D42" i="20" s="1"/>
  <c r="G19" i="20"/>
  <c r="E40" i="20" s="1"/>
  <c r="G149" i="20"/>
  <c r="E170" i="20" s="1"/>
  <c r="O62" i="20"/>
  <c r="D86" i="20" s="1"/>
  <c r="G63" i="20"/>
  <c r="E84" i="20" s="1"/>
  <c r="O19" i="20" l="1"/>
  <c r="E42" i="20" s="1"/>
  <c r="O106" i="20"/>
  <c r="E129" i="20" s="1"/>
  <c r="O63" i="20"/>
  <c r="E86" i="20" s="1"/>
  <c r="O149" i="20"/>
  <c r="E172" i="20" s="1"/>
</calcChain>
</file>

<file path=xl/sharedStrings.xml><?xml version="1.0" encoding="utf-8"?>
<sst xmlns="http://schemas.openxmlformats.org/spreadsheetml/2006/main" count="688" uniqueCount="139">
  <si>
    <t>Email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</si>
  <si>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</si>
  <si>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</si>
  <si>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</si>
  <si>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</si>
  <si>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t>Date</t>
  </si>
  <si>
    <t>Time</t>
  </si>
  <si>
    <t>e</t>
  </si>
  <si>
    <t>C</t>
  </si>
  <si>
    <t>v</t>
  </si>
  <si>
    <t>P (deg - rad)</t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</si>
  <si>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5th May, 2024.</t>
    </r>
  </si>
  <si>
    <t>Reference: Meeus, Astronomical Algorithms, First Edition, pp. 165-170.</t>
  </si>
  <si>
    <t>*</t>
  </si>
  <si>
    <t>Year</t>
  </si>
  <si>
    <t>T</t>
  </si>
  <si>
    <t>W</t>
  </si>
  <si>
    <t>Δ λ</t>
  </si>
  <si>
    <t>S</t>
  </si>
  <si>
    <t>JDE</t>
  </si>
  <si>
    <r>
      <t>JDE</t>
    </r>
    <r>
      <rPr>
        <vertAlign val="subscript"/>
        <sz val="12"/>
        <rFont val="Calibri (Body)"/>
      </rPr>
      <t>0</t>
    </r>
  </si>
  <si>
    <t>March equinox</t>
  </si>
  <si>
    <t>June solstice</t>
  </si>
  <si>
    <t>September equinox</t>
  </si>
  <si>
    <t>Winter solstice</t>
  </si>
  <si>
    <t>Y</t>
  </si>
  <si>
    <t>(valid for years +1000 to +3000)</t>
  </si>
  <si>
    <t>A</t>
  </si>
  <si>
    <t>B</t>
  </si>
  <si>
    <r>
      <t>S</t>
    </r>
    <r>
      <rPr>
        <vertAlign val="subscript"/>
        <sz val="12"/>
        <rFont val="Calibri (Body)"/>
      </rPr>
      <t>1</t>
    </r>
  </si>
  <si>
    <r>
      <t>S</t>
    </r>
    <r>
      <rPr>
        <vertAlign val="subscript"/>
        <sz val="12"/>
        <rFont val="Calibri (Body)"/>
      </rPr>
      <t>2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</si>
  <si>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3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</si>
  <si>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4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</si>
  <si>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5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</si>
  <si>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6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</si>
  <si>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7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</si>
  <si>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8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</si>
  <si>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9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</si>
  <si>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10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</si>
  <si>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11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</si>
  <si>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12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</si>
  <si>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13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</si>
  <si>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14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</si>
  <si>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15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</si>
  <si>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16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</si>
  <si>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17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</si>
  <si>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18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</si>
  <si>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19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</si>
  <si>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20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</si>
  <si>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21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</si>
  <si>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22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</si>
  <si>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23</t>
    </r>
    <r>
      <rPr>
        <sz val="12"/>
        <color theme="1"/>
        <rFont val="Calibri"/>
        <family val="2"/>
        <scheme val="minor"/>
      </rPr>
      <t/>
    </r>
  </si>
  <si>
    <r>
      <t>S</t>
    </r>
    <r>
      <rPr>
        <vertAlign val="subscript"/>
        <sz val="12"/>
        <rFont val="Calibri (Body)"/>
      </rPr>
      <t>24</t>
    </r>
    <r>
      <rPr>
        <sz val="12"/>
        <color theme="1"/>
        <rFont val="Calibri"/>
        <family val="2"/>
        <scheme val="minor"/>
      </rPr>
      <t/>
    </r>
  </si>
  <si>
    <t>Jun-sol</t>
  </si>
  <si>
    <t>Mar-equ</t>
  </si>
  <si>
    <t>Sep-equ</t>
  </si>
  <si>
    <t>Dec-sol</t>
  </si>
  <si>
    <t>Sum</t>
  </si>
  <si>
    <t>JDEcorrected</t>
  </si>
  <si>
    <t>Month</t>
  </si>
  <si>
    <t xml:space="preserve">Day </t>
  </si>
  <si>
    <t>Hour</t>
  </si>
  <si>
    <t>Minute</t>
  </si>
  <si>
    <t>Second</t>
  </si>
  <si>
    <t>f</t>
  </si>
  <si>
    <t>g</t>
  </si>
  <si>
    <t xml:space="preserve">h  </t>
  </si>
  <si>
    <t>j</t>
  </si>
  <si>
    <t>r</t>
  </si>
  <si>
    <t>p</t>
  </si>
  <si>
    <t>u</t>
  </si>
  <si>
    <t>w</t>
  </si>
  <si>
    <t xml:space="preserve">s </t>
  </si>
  <si>
    <t>m</t>
  </si>
  <si>
    <t>n</t>
  </si>
  <si>
    <t>fraction</t>
  </si>
  <si>
    <t>To do (optionally): obtain higher accuracy</t>
  </si>
  <si>
    <t>Day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</si>
  <si>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</si>
  <si>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</si>
  <si>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</si>
  <si>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</si>
  <si>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</si>
  <si>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</si>
  <si>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</si>
  <si>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</si>
  <si>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</si>
  <si>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</si>
  <si>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</si>
  <si>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</si>
  <si>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Leap year?</t>
  </si>
  <si>
    <t>Day number</t>
  </si>
  <si>
    <t>Input</t>
  </si>
  <si>
    <t>- Model 2 will be used fot calculation of equinoxes/stolcises.</t>
  </si>
  <si>
    <t>- Difference between model outcomes is relatively  low.</t>
  </si>
  <si>
    <t xml:space="preserve">Conclusions: </t>
  </si>
  <si>
    <t>Source</t>
  </si>
  <si>
    <t>time</t>
  </si>
  <si>
    <t>dec</t>
  </si>
  <si>
    <t>daylength</t>
  </si>
  <si>
    <t>noon</t>
  </si>
  <si>
    <t>sunset</t>
  </si>
  <si>
    <t>sunrise</t>
  </si>
  <si>
    <t>deg</t>
  </si>
  <si>
    <t>rad</t>
  </si>
  <si>
    <t>Hour angle'</t>
  </si>
  <si>
    <t>β (azimuth)</t>
  </si>
  <si>
    <t>α (altitude)</t>
  </si>
  <si>
    <t>δ (declination)</t>
  </si>
  <si>
    <t>Hour angle</t>
  </si>
  <si>
    <t>LST</t>
  </si>
  <si>
    <t>min</t>
  </si>
  <si>
    <t>time offset</t>
  </si>
  <si>
    <t>TC</t>
  </si>
  <si>
    <t>EoT</t>
  </si>
  <si>
    <t>LSTM</t>
  </si>
  <si>
    <t>γ</t>
  </si>
  <si>
    <t>Timezone</t>
  </si>
  <si>
    <t>λ (longitude)</t>
  </si>
  <si>
    <t>φ (latitude)</t>
  </si>
  <si>
    <t>Inputs</t>
  </si>
  <si>
    <t>Model 2</t>
  </si>
  <si>
    <t>Model 1</t>
  </si>
  <si>
    <t>4. Whole Year</t>
  </si>
  <si>
    <t>Case</t>
  </si>
  <si>
    <t>Summary</t>
  </si>
  <si>
    <t>zenith</t>
  </si>
  <si>
    <t>int</t>
  </si>
  <si>
    <t>bool</t>
  </si>
  <si>
    <t>date</t>
  </si>
  <si>
    <t>C. Sunset</t>
  </si>
  <si>
    <t>B. Noon</t>
  </si>
  <si>
    <t>A. Sunrise</t>
  </si>
  <si>
    <t>4. Solstice (Winter)</t>
  </si>
  <si>
    <t>3. Equinox (Autumn)</t>
  </si>
  <si>
    <t>2. Solstice (Summer)</t>
  </si>
  <si>
    <t>1. Equinox (Spring)</t>
  </si>
  <si>
    <t>There are only two times of the year when the Earth's axis is tilted neither toward nor away from the sun, resulting in a "nearly" equal amount of daylight and darkness at all latitudes. These events are referred to as Equinoxes. The summer solstice occurs at the moment the earth's tilt toward/from the sun is at a maximum. The winter solstice marks the shortest day and longest night of the year. This spreadsheet calculates the dates of the equinoxes and solstices for a given year. In addition, two other models are compared for calculating sunrise, noon and sunset times for a given date.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</si>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</sst>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]dd/mm/yyyy;@" x16r2:formatCode16="[$-en-CH,1]dd/mm/yyyy;@"/>
    <numFmt numFmtId="165" formatCode="#,##0.00000"/>
    <numFmt numFmtId="166" formatCode="#,##0.000"/>
    <numFmt numFmtId="167" formatCode="#,##0.000000"/>
    <numFmt numFmtId="168" formatCode="[$]hh:mm:ss;@" x16r2:formatCode16="[$-en-CH,1]hh:mm:ss;@"/>
    <numFmt numFmtId="169" formatCode="[$]hh:mm;@" x16r2:formatCode16="[$-en-CH,1]hh:mm;@"/>
  </numFmts>
  <fonts count="3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"/>
      <family val="2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  <scheme val="minor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ＭＳ Ｐゴシック"/>
      <family val="2"/>
      <charset val="12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2"/>
      <name val="Calibri (Body)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5" fillId="0" borderId="0"/>
    <xf numFmtId="0" fontId="16" fillId="0" borderId="0"/>
    <xf numFmtId="0" fontId="19" fillId="0" borderId="0"/>
    <xf numFmtId="0" fontId="2" fillId="0" borderId="0"/>
  </cellStyleXfs>
  <cellXfs count="141">
    <xf numFmtId="0" fontId="0" fillId="0" borderId="0" xfId="0"/>
    <xf numFmtId="0" fontId="9" fillId="3" borderId="1" xfId="41" applyFont="1" applyFill="1" applyBorder="1" applyAlignment="1">
      <alignment horizontal="left"/>
    </xf>
    <xf numFmtId="0" fontId="9" fillId="3" borderId="2" xfId="41" applyFont="1" applyFill="1" applyBorder="1" applyAlignment="1">
      <alignment horizontal="center"/>
    </xf>
    <xf numFmtId="0" fontId="9" fillId="3" borderId="2" xfId="41" applyFont="1" applyFill="1" applyBorder="1"/>
    <xf numFmtId="0" fontId="11" fillId="3" borderId="3" xfId="42" applyFont="1" applyFill="1" applyBorder="1" applyAlignment="1">
      <alignment horizontal="center"/>
    </xf>
    <xf numFmtId="0" fontId="12" fillId="3" borderId="4" xfId="42" applyFont="1" applyFill="1" applyBorder="1" applyAlignment="1">
      <alignment horizontal="left"/>
    </xf>
    <xf numFmtId="0" fontId="9" fillId="3" borderId="0" xfId="41" applyFont="1" applyFill="1" applyAlignment="1">
      <alignment horizontal="center"/>
    </xf>
    <xf numFmtId="0" fontId="9" fillId="3" borderId="0" xfId="41" applyFont="1" applyFill="1"/>
    <xf numFmtId="0" fontId="9" fillId="3" borderId="5" xfId="41" applyFont="1" applyFill="1" applyBorder="1" applyAlignment="1">
      <alignment horizontal="center"/>
    </xf>
    <xf numFmtId="0" fontId="9" fillId="3" borderId="6" xfId="42" applyFont="1" applyFill="1" applyBorder="1" applyAlignment="1">
      <alignment horizontal="left"/>
    </xf>
    <xf numFmtId="0" fontId="9" fillId="3" borderId="8" xfId="42" applyFont="1" applyFill="1" applyBorder="1" applyAlignment="1">
      <alignment horizontal="left"/>
    </xf>
    <xf numFmtId="0" fontId="9" fillId="3" borderId="8" xfId="41" applyFont="1" applyFill="1" applyBorder="1"/>
    <xf numFmtId="0" fontId="10" fillId="3" borderId="7" xfId="41" applyFont="1" applyFill="1" applyBorder="1" applyAlignment="1">
      <alignment horizontal="center"/>
    </xf>
    <xf numFmtId="0" fontId="17" fillId="0" borderId="0" xfId="44" applyFont="1" applyAlignment="1">
      <alignment vertical="center"/>
    </xf>
    <xf numFmtId="0" fontId="20" fillId="6" borderId="0" xfId="45" applyFont="1" applyFill="1"/>
    <xf numFmtId="0" fontId="17" fillId="0" borderId="0" xfId="44" applyFont="1" applyAlignment="1">
      <alignment horizontal="center" vertical="center"/>
    </xf>
    <xf numFmtId="0" fontId="18" fillId="5" borderId="0" xfId="44" applyFont="1" applyFill="1" applyAlignment="1">
      <alignment horizontal="center" vertical="center"/>
    </xf>
    <xf numFmtId="0" fontId="17" fillId="6" borderId="0" xfId="44" applyFont="1" applyFill="1" applyAlignment="1">
      <alignment vertical="center"/>
    </xf>
    <xf numFmtId="0" fontId="17" fillId="0" borderId="12" xfId="44" applyFont="1" applyBorder="1" applyAlignment="1">
      <alignment vertical="center"/>
    </xf>
    <xf numFmtId="0" fontId="17" fillId="0" borderId="12" xfId="44" applyFont="1" applyBorder="1" applyAlignment="1">
      <alignment horizontal="center" vertical="center"/>
    </xf>
    <xf numFmtId="165" fontId="17" fillId="0" borderId="12" xfId="44" applyNumberFormat="1" applyFont="1" applyBorder="1" applyAlignment="1">
      <alignment horizontal="center" vertical="center"/>
    </xf>
    <xf numFmtId="1" fontId="18" fillId="5" borderId="12" xfId="44" applyNumberFormat="1" applyFont="1" applyFill="1" applyBorder="1" applyAlignment="1" applyProtection="1">
      <alignment horizontal="center" vertical="center"/>
      <protection locked="0"/>
    </xf>
    <xf numFmtId="165" fontId="17" fillId="0" borderId="0" xfId="44" applyNumberFormat="1" applyFont="1" applyAlignment="1">
      <alignment horizontal="center" vertical="center"/>
    </xf>
    <xf numFmtId="165" fontId="17" fillId="4" borderId="12" xfId="44" applyNumberFormat="1" applyFont="1" applyFill="1" applyBorder="1" applyAlignment="1">
      <alignment vertical="center"/>
    </xf>
    <xf numFmtId="0" fontId="17" fillId="4" borderId="12" xfId="44" applyFont="1" applyFill="1" applyBorder="1" applyAlignment="1">
      <alignment horizontal="right" vertical="center"/>
    </xf>
    <xf numFmtId="0" fontId="17" fillId="4" borderId="12" xfId="44" applyFont="1" applyFill="1" applyBorder="1" applyAlignment="1">
      <alignment vertical="center"/>
    </xf>
    <xf numFmtId="4" fontId="17" fillId="4" borderId="12" xfId="44" applyNumberFormat="1" applyFont="1" applyFill="1" applyBorder="1" applyAlignment="1">
      <alignment vertical="center"/>
    </xf>
    <xf numFmtId="166" fontId="17" fillId="4" borderId="12" xfId="44" applyNumberFormat="1" applyFont="1" applyFill="1" applyBorder="1" applyAlignment="1">
      <alignment vertical="center"/>
    </xf>
    <xf numFmtId="1" fontId="17" fillId="4" borderId="12" xfId="44" applyNumberFormat="1" applyFont="1" applyFill="1" applyBorder="1" applyAlignment="1">
      <alignment vertical="center"/>
    </xf>
    <xf numFmtId="167" fontId="17" fillId="4" borderId="12" xfId="44" applyNumberFormat="1" applyFont="1" applyFill="1" applyBorder="1" applyAlignment="1">
      <alignment vertical="center"/>
    </xf>
    <xf numFmtId="164" fontId="17" fillId="2" borderId="12" xfId="44" applyNumberFormat="1" applyFont="1" applyFill="1" applyBorder="1" applyAlignment="1">
      <alignment horizontal="center" vertical="center"/>
    </xf>
    <xf numFmtId="168" fontId="17" fillId="2" borderId="12" xfId="44" applyNumberFormat="1" applyFont="1" applyFill="1" applyBorder="1" applyAlignment="1">
      <alignment horizontal="center" vertical="center"/>
    </xf>
    <xf numFmtId="164" fontId="17" fillId="0" borderId="0" xfId="44" applyNumberFormat="1" applyFont="1" applyAlignment="1">
      <alignment horizontal="center" vertical="center"/>
    </xf>
    <xf numFmtId="168" fontId="17" fillId="0" borderId="0" xfId="44" applyNumberFormat="1" applyFont="1" applyAlignment="1">
      <alignment horizontal="center" vertical="center"/>
    </xf>
    <xf numFmtId="0" fontId="23" fillId="0" borderId="0" xfId="44" applyFont="1" applyAlignment="1">
      <alignment vertical="center"/>
    </xf>
    <xf numFmtId="0" fontId="25" fillId="9" borderId="12" xfId="41" applyFont="1" applyFill="1" applyBorder="1" applyAlignment="1">
      <alignment horizontal="center"/>
    </xf>
    <xf numFmtId="0" fontId="25" fillId="9" borderId="13" xfId="41" applyFont="1" applyFill="1" applyBorder="1" applyAlignment="1">
      <alignment horizontal="center"/>
    </xf>
    <xf numFmtId="0" fontId="25" fillId="9" borderId="14" xfId="41" applyFont="1" applyFill="1" applyBorder="1" applyAlignment="1">
      <alignment horizontal="center"/>
    </xf>
    <xf numFmtId="0" fontId="25" fillId="9" borderId="15" xfId="41" applyFont="1" applyFill="1" applyBorder="1" applyAlignment="1">
      <alignment horizontal="center"/>
    </xf>
    <xf numFmtId="0" fontId="25" fillId="10" borderId="16" xfId="41" applyFont="1" applyFill="1" applyBorder="1" applyAlignment="1">
      <alignment horizontal="center"/>
    </xf>
    <xf numFmtId="0" fontId="26" fillId="10" borderId="17" xfId="41" applyFont="1" applyFill="1" applyBorder="1" applyAlignment="1">
      <alignment horizontal="center"/>
    </xf>
    <xf numFmtId="0" fontId="26" fillId="10" borderId="18" xfId="41" applyFont="1" applyFill="1" applyBorder="1" applyAlignment="1">
      <alignment horizontal="center"/>
    </xf>
    <xf numFmtId="0" fontId="26" fillId="10" borderId="19" xfId="41" applyFont="1" applyFill="1" applyBorder="1" applyAlignment="1">
      <alignment horizontal="center"/>
    </xf>
    <xf numFmtId="0" fontId="25" fillId="10" borderId="20" xfId="41" applyFont="1" applyFill="1" applyBorder="1" applyAlignment="1">
      <alignment horizontal="center"/>
    </xf>
    <xf numFmtId="0" fontId="26" fillId="10" borderId="21" xfId="41" applyFont="1" applyFill="1" applyBorder="1" applyAlignment="1">
      <alignment horizontal="center"/>
    </xf>
    <xf numFmtId="0" fontId="26" fillId="10" borderId="22" xfId="41" applyFont="1" applyFill="1" applyBorder="1" applyAlignment="1">
      <alignment horizontal="center"/>
    </xf>
    <xf numFmtId="0" fontId="26" fillId="10" borderId="23" xfId="41" applyFont="1" applyFill="1" applyBorder="1" applyAlignment="1">
      <alignment horizontal="center"/>
    </xf>
    <xf numFmtId="1" fontId="18" fillId="0" borderId="0" xfId="44" applyNumberFormat="1" applyFont="1" applyAlignment="1" applyProtection="1">
      <alignment horizontal="center" vertical="center"/>
      <protection locked="0"/>
    </xf>
    <xf numFmtId="0" fontId="27" fillId="11" borderId="24" xfId="41" applyFont="1" applyFill="1" applyBorder="1" applyAlignment="1">
      <alignment horizontal="center"/>
    </xf>
    <xf numFmtId="0" fontId="26" fillId="7" borderId="24" xfId="41" applyFont="1" applyFill="1" applyBorder="1" applyAlignment="1">
      <alignment horizontal="center"/>
    </xf>
    <xf numFmtId="0" fontId="17" fillId="0" borderId="24" xfId="44" applyFont="1" applyBorder="1" applyAlignment="1">
      <alignment horizontal="center" vertical="center"/>
    </xf>
    <xf numFmtId="164" fontId="17" fillId="6" borderId="0" xfId="44" applyNumberFormat="1" applyFont="1" applyFill="1" applyAlignment="1">
      <alignment horizontal="center" vertical="center"/>
    </xf>
    <xf numFmtId="168" fontId="17" fillId="6" borderId="0" xfId="44" applyNumberFormat="1" applyFont="1" applyFill="1" applyAlignment="1">
      <alignment horizontal="center" vertical="center"/>
    </xf>
    <xf numFmtId="0" fontId="17" fillId="4" borderId="12" xfId="44" applyFont="1" applyFill="1" applyBorder="1" applyAlignment="1">
      <alignment horizontal="center" vertical="center"/>
    </xf>
    <xf numFmtId="0" fontId="17" fillId="3" borderId="0" xfId="44" applyFont="1" applyFill="1" applyAlignment="1">
      <alignment vertical="center"/>
    </xf>
    <xf numFmtId="0" fontId="17" fillId="3" borderId="0" xfId="44" applyFont="1" applyFill="1" applyAlignment="1">
      <alignment horizontal="center" vertical="center"/>
    </xf>
    <xf numFmtId="0" fontId="4" fillId="3" borderId="0" xfId="41" applyFill="1"/>
    <xf numFmtId="0" fontId="0" fillId="3" borderId="0" xfId="0" applyFill="1"/>
    <xf numFmtId="0" fontId="3" fillId="3" borderId="0" xfId="41" applyFont="1" applyFill="1"/>
    <xf numFmtId="0" fontId="26" fillId="0" borderId="0" xfId="46" applyFont="1"/>
    <xf numFmtId="0" fontId="26" fillId="0" borderId="0" xfId="46" quotePrefix="1" applyFont="1"/>
    <xf numFmtId="0" fontId="28" fillId="0" borderId="0" xfId="46" applyFont="1"/>
    <xf numFmtId="0" fontId="29" fillId="0" borderId="0" xfId="42" applyFont="1"/>
    <xf numFmtId="0" fontId="26" fillId="12" borderId="7" xfId="46" applyFont="1" applyFill="1" applyBorder="1" applyAlignment="1">
      <alignment horizontal="right"/>
    </xf>
    <xf numFmtId="169" fontId="26" fillId="2" borderId="8" xfId="46" applyNumberFormat="1" applyFont="1" applyFill="1" applyBorder="1"/>
    <xf numFmtId="0" fontId="26" fillId="12" borderId="6" xfId="46" applyFont="1" applyFill="1" applyBorder="1"/>
    <xf numFmtId="0" fontId="26" fillId="0" borderId="0" xfId="46" applyFont="1" applyAlignment="1">
      <alignment horizontal="right"/>
    </xf>
    <xf numFmtId="0" fontId="26" fillId="0" borderId="7" xfId="46" applyFont="1" applyBorder="1" applyAlignment="1">
      <alignment horizontal="right"/>
    </xf>
    <xf numFmtId="0" fontId="26" fillId="0" borderId="6" xfId="46" applyFont="1" applyBorder="1"/>
    <xf numFmtId="0" fontId="26" fillId="12" borderId="5" xfId="46" applyFont="1" applyFill="1" applyBorder="1" applyAlignment="1">
      <alignment horizontal="right"/>
    </xf>
    <xf numFmtId="4" fontId="26" fillId="12" borderId="0" xfId="46" applyNumberFormat="1" applyFont="1" applyFill="1"/>
    <xf numFmtId="0" fontId="26" fillId="12" borderId="4" xfId="46" applyFont="1" applyFill="1" applyBorder="1"/>
    <xf numFmtId="0" fontId="26" fillId="0" borderId="5" xfId="46" applyFont="1" applyBorder="1" applyAlignment="1">
      <alignment horizontal="right"/>
    </xf>
    <xf numFmtId="4" fontId="26" fillId="0" borderId="0" xfId="46" applyNumberFormat="1" applyFont="1"/>
    <xf numFmtId="0" fontId="26" fillId="0" borderId="4" xfId="46" applyFont="1" applyBorder="1"/>
    <xf numFmtId="169" fontId="26" fillId="2" borderId="0" xfId="46" applyNumberFormat="1" applyFont="1" applyFill="1"/>
    <xf numFmtId="0" fontId="26" fillId="12" borderId="3" xfId="46" applyFont="1" applyFill="1" applyBorder="1"/>
    <xf numFmtId="4" fontId="30" fillId="5" borderId="2" xfId="46" applyNumberFormat="1" applyFont="1" applyFill="1" applyBorder="1" applyProtection="1">
      <protection locked="0"/>
    </xf>
    <xf numFmtId="0" fontId="26" fillId="12" borderId="1" xfId="46" applyFont="1" applyFill="1" applyBorder="1"/>
    <xf numFmtId="0" fontId="26" fillId="0" borderId="3" xfId="46" applyFont="1" applyBorder="1"/>
    <xf numFmtId="0" fontId="26" fillId="0" borderId="1" xfId="46" applyFont="1" applyBorder="1"/>
    <xf numFmtId="0" fontId="26" fillId="12" borderId="7" xfId="46" applyFont="1" applyFill="1" applyBorder="1"/>
    <xf numFmtId="4" fontId="26" fillId="12" borderId="8" xfId="46" applyNumberFormat="1" applyFont="1" applyFill="1" applyBorder="1"/>
    <xf numFmtId="0" fontId="26" fillId="0" borderId="7" xfId="46" applyFont="1" applyBorder="1"/>
    <xf numFmtId="4" fontId="26" fillId="2" borderId="8" xfId="46" applyNumberFormat="1" applyFont="1" applyFill="1" applyBorder="1"/>
    <xf numFmtId="4" fontId="26" fillId="2" borderId="2" xfId="46" applyNumberFormat="1" applyFont="1" applyFill="1" applyBorder="1"/>
    <xf numFmtId="4" fontId="26" fillId="0" borderId="8" xfId="46" applyNumberFormat="1" applyFont="1" applyBorder="1"/>
    <xf numFmtId="2" fontId="26" fillId="12" borderId="0" xfId="46" applyNumberFormat="1" applyFont="1" applyFill="1"/>
    <xf numFmtId="2" fontId="26" fillId="0" borderId="0" xfId="46" applyNumberFormat="1" applyFont="1"/>
    <xf numFmtId="169" fontId="31" fillId="0" borderId="0" xfId="46" applyNumberFormat="1" applyFont="1"/>
    <xf numFmtId="169" fontId="26" fillId="12" borderId="0" xfId="46" applyNumberFormat="1" applyFont="1" applyFill="1"/>
    <xf numFmtId="169" fontId="26" fillId="0" borderId="0" xfId="46" applyNumberFormat="1" applyFont="1"/>
    <xf numFmtId="0" fontId="26" fillId="12" borderId="3" xfId="46" applyFont="1" applyFill="1" applyBorder="1" applyAlignment="1">
      <alignment horizontal="right"/>
    </xf>
    <xf numFmtId="4" fontId="26" fillId="12" borderId="2" xfId="46" applyNumberFormat="1" applyFont="1" applyFill="1" applyBorder="1"/>
    <xf numFmtId="0" fontId="26" fillId="0" borderId="3" xfId="46" applyFont="1" applyBorder="1" applyAlignment="1">
      <alignment horizontal="right"/>
    </xf>
    <xf numFmtId="4" fontId="26" fillId="0" borderId="2" xfId="46" applyNumberFormat="1" applyFont="1" applyBorder="1"/>
    <xf numFmtId="169" fontId="30" fillId="5" borderId="0" xfId="46" applyNumberFormat="1" applyFont="1" applyFill="1" applyProtection="1">
      <protection locked="0"/>
    </xf>
    <xf numFmtId="0" fontId="26" fillId="12" borderId="5" xfId="46" applyFont="1" applyFill="1" applyBorder="1"/>
    <xf numFmtId="1" fontId="26" fillId="12" borderId="0" xfId="46" applyNumberFormat="1" applyFont="1" applyFill="1"/>
    <xf numFmtId="0" fontId="26" fillId="0" borderId="5" xfId="46" applyFont="1" applyBorder="1"/>
    <xf numFmtId="1" fontId="26" fillId="0" borderId="0" xfId="46" applyNumberFormat="1" applyFont="1"/>
    <xf numFmtId="164" fontId="26" fillId="12" borderId="0" xfId="46" applyNumberFormat="1" applyFont="1" applyFill="1" applyAlignment="1">
      <alignment horizontal="right"/>
    </xf>
    <xf numFmtId="164" fontId="26" fillId="0" borderId="0" xfId="46" applyNumberFormat="1" applyFont="1" applyAlignment="1">
      <alignment horizontal="right"/>
    </xf>
    <xf numFmtId="164" fontId="30" fillId="5" borderId="0" xfId="46" applyNumberFormat="1" applyFont="1" applyFill="1" applyProtection="1">
      <protection locked="0"/>
    </xf>
    <xf numFmtId="0" fontId="30" fillId="5" borderId="0" xfId="46" applyFont="1" applyFill="1" applyProtection="1">
      <protection locked="0"/>
    </xf>
    <xf numFmtId="2" fontId="30" fillId="5" borderId="0" xfId="46" applyNumberFormat="1" applyFont="1" applyFill="1" applyProtection="1">
      <protection locked="0"/>
    </xf>
    <xf numFmtId="0" fontId="30" fillId="12" borderId="2" xfId="46" applyFont="1" applyFill="1" applyBorder="1" applyAlignment="1">
      <alignment horizontal="right"/>
    </xf>
    <xf numFmtId="0" fontId="30" fillId="5" borderId="2" xfId="46" applyFont="1" applyFill="1" applyBorder="1" applyAlignment="1">
      <alignment horizontal="right"/>
    </xf>
    <xf numFmtId="0" fontId="32" fillId="0" borderId="0" xfId="46" applyFont="1"/>
    <xf numFmtId="4" fontId="26" fillId="0" borderId="7" xfId="46" applyNumberFormat="1" applyFont="1" applyBorder="1" applyAlignment="1">
      <alignment horizontal="right"/>
    </xf>
    <xf numFmtId="4" fontId="26" fillId="0" borderId="20" xfId="46" applyNumberFormat="1" applyFont="1" applyBorder="1" applyAlignment="1">
      <alignment horizontal="right"/>
    </xf>
    <xf numFmtId="169" fontId="26" fillId="0" borderId="20" xfId="46" applyNumberFormat="1" applyFont="1" applyBorder="1" applyAlignment="1">
      <alignment horizontal="right"/>
    </xf>
    <xf numFmtId="0" fontId="26" fillId="0" borderId="20" xfId="46" applyFont="1" applyBorder="1"/>
    <xf numFmtId="4" fontId="26" fillId="0" borderId="5" xfId="46" applyNumberFormat="1" applyFont="1" applyBorder="1" applyAlignment="1">
      <alignment horizontal="right"/>
    </xf>
    <xf numFmtId="4" fontId="26" fillId="0" borderId="16" xfId="46" applyNumberFormat="1" applyFont="1" applyBorder="1" applyAlignment="1">
      <alignment horizontal="right"/>
    </xf>
    <xf numFmtId="169" fontId="26" fillId="0" borderId="16" xfId="46" applyNumberFormat="1" applyFont="1" applyBorder="1" applyAlignment="1">
      <alignment horizontal="right"/>
    </xf>
    <xf numFmtId="0" fontId="26" fillId="0" borderId="16" xfId="46" applyFont="1" applyBorder="1"/>
    <xf numFmtId="4" fontId="26" fillId="0" borderId="27" xfId="46" applyNumberFormat="1" applyFont="1" applyBorder="1" applyAlignment="1">
      <alignment horizontal="right"/>
    </xf>
    <xf numFmtId="169" fontId="26" fillId="0" borderId="27" xfId="46" applyNumberFormat="1" applyFont="1" applyBorder="1" applyAlignment="1">
      <alignment horizontal="right"/>
    </xf>
    <xf numFmtId="0" fontId="26" fillId="0" borderId="27" xfId="46" applyFont="1" applyBorder="1"/>
    <xf numFmtId="0" fontId="26" fillId="0" borderId="12" xfId="46" applyFont="1" applyBorder="1" applyAlignment="1">
      <alignment horizontal="right"/>
    </xf>
    <xf numFmtId="0" fontId="26" fillId="0" borderId="1" xfId="46" applyFont="1" applyBorder="1" applyAlignment="1">
      <alignment horizontal="right"/>
    </xf>
    <xf numFmtId="0" fontId="26" fillId="0" borderId="2" xfId="46" applyFont="1" applyBorder="1" applyAlignment="1">
      <alignment horizontal="right"/>
    </xf>
    <xf numFmtId="0" fontId="26" fillId="0" borderId="12" xfId="46" applyFont="1" applyBorder="1" applyAlignment="1">
      <alignment horizontal="left"/>
    </xf>
    <xf numFmtId="0" fontId="30" fillId="0" borderId="0" xfId="46" applyFont="1"/>
    <xf numFmtId="169" fontId="26" fillId="0" borderId="2" xfId="46" applyNumberFormat="1" applyFont="1" applyBorder="1"/>
    <xf numFmtId="4" fontId="30" fillId="5" borderId="2" xfId="46" applyNumberFormat="1" applyFont="1" applyFill="1" applyBorder="1"/>
    <xf numFmtId="0" fontId="8" fillId="3" borderId="0" xfId="41" applyFont="1" applyFill="1" applyAlignment="1">
      <alignment horizontal="center" vertical="center" wrapText="1"/>
    </xf>
    <xf numFmtId="0" fontId="13" fillId="3" borderId="1" xfId="42" applyFont="1" applyFill="1" applyBorder="1" applyAlignment="1">
      <alignment horizontal="center"/>
    </xf>
    <xf numFmtId="0" fontId="13" fillId="3" borderId="2" xfId="42" applyFont="1" applyFill="1" applyBorder="1" applyAlignment="1">
      <alignment horizontal="center"/>
    </xf>
    <xf numFmtId="0" fontId="13" fillId="3" borderId="9" xfId="42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24" fillId="8" borderId="8" xfId="41" applyFont="1" applyFill="1" applyBorder="1" applyAlignment="1">
      <alignment horizontal="center"/>
    </xf>
    <xf numFmtId="0" fontId="17" fillId="4" borderId="25" xfId="44" applyFont="1" applyFill="1" applyBorder="1" applyAlignment="1">
      <alignment horizontal="center" vertical="center"/>
    </xf>
    <xf numFmtId="0" fontId="17" fillId="4" borderId="26" xfId="44" applyFont="1" applyFill="1" applyBorder="1" applyAlignment="1">
      <alignment horizontal="center" vertical="center"/>
    </xf>
    <xf numFmtId="0" fontId="32" fillId="0" borderId="0" xfId="46" applyFont="1" applyAlignment="1">
      <alignment horizontal="center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 2" xfId="42" xr:uid="{C380AA0A-E10B-1C43-9286-02819B081BC7}"/>
    <cellStyle name="Normal" xfId="0" builtinId="0"/>
    <cellStyle name="Normal 2" xfId="41" xr:uid="{0D0AB34C-A1A9-7D42-A14C-E95ACB658DC4}"/>
    <cellStyle name="Normal 3" xfId="44" xr:uid="{48F4CE55-52E5-B741-8787-0CB02C6E3909}"/>
    <cellStyle name="Normal 4" xfId="43" xr:uid="{58AA1869-D9A5-F042-A460-3D15104DE221}"/>
    <cellStyle name="Normal 5" xfId="45" xr:uid="{A67E6128-EE07-AF49-B538-666D4336E675}"/>
    <cellStyle name="Normal 6" xfId="46" xr:uid="{860E927B-C1BE-074F-AC9D-57B50308258C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GB"/>
              <a:t>Sun path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Equinox (Spring)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'Equinoxes, Solstices (Model 2)'!$E$40:$E$42</c:f>
              <c:numCache>
                <c:formatCode>#,##0.00</c:formatCode>
                <c:ptCount val="3"/>
                <c:pt idx="0">
                  <c:v>90.289238646075731</c:v>
                </c:pt>
                <c:pt idx="1">
                  <c:v>179.91867007323776</c:v>
                </c:pt>
                <c:pt idx="2">
                  <c:v>269.94191352145202</c:v>
                </c:pt>
              </c:numCache>
            </c:numRef>
          </c:xVal>
          <c:yVal>
            <c:numRef>
              <c:f>'Equinoxes, Solstices (Model 2)'!$D$40:$D$42</c:f>
              <c:numCache>
                <c:formatCode>#,##0.00</c:formatCode>
                <c:ptCount val="3"/>
                <c:pt idx="0">
                  <c:v>-5.4825971507541767E-2</c:v>
                </c:pt>
                <c:pt idx="1">
                  <c:v>43.409178184375065</c:v>
                </c:pt>
                <c:pt idx="2">
                  <c:v>-3.1566588064073455E-3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6F-D24F-ACDC-62B0A9A7B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766000"/>
        <c:axId val="2059767712"/>
      </c:scatterChart>
      <c:valAx>
        <c:axId val="205976600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7712"/>
        <c:crosses val="autoZero"/>
        <c:crossBetween val="midCat"/>
        <c:majorUnit val="45"/>
      </c:valAx>
      <c:valAx>
        <c:axId val="2059767712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GB"/>
              <a:t>Sun path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Solstice (Summer)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'Equinoxes, Solstices (Model 2)'!$E$84:$E$86</c:f>
              <c:numCache>
                <c:formatCode>#,##0.00</c:formatCode>
                <c:ptCount val="3"/>
                <c:pt idx="0">
                  <c:v>54.743520383644103</c:v>
                </c:pt>
                <c:pt idx="1">
                  <c:v>180.26372407755397</c:v>
                </c:pt>
                <c:pt idx="2">
                  <c:v>305.24214255659712</c:v>
                </c:pt>
              </c:numCache>
            </c:numRef>
          </c:xVal>
          <c:yVal>
            <c:numRef>
              <c:f>'Equinoxes, Solstices (Model 2)'!$D$84:$D$86</c:f>
              <c:numCache>
                <c:formatCode>#,##0.00</c:formatCode>
                <c:ptCount val="3"/>
                <c:pt idx="0">
                  <c:v>1.2112927514993111E-2</c:v>
                </c:pt>
                <c:pt idx="1">
                  <c:v>66.998077339903944</c:v>
                </c:pt>
                <c:pt idx="2">
                  <c:v>3.1508699712158063E-2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F7-A542-BE5F-5E06A4701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766000"/>
        <c:axId val="2059767712"/>
      </c:scatterChart>
      <c:valAx>
        <c:axId val="205976600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7712"/>
        <c:crosses val="autoZero"/>
        <c:crossBetween val="midCat"/>
        <c:majorUnit val="45"/>
      </c:valAx>
      <c:valAx>
        <c:axId val="2059767712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GB"/>
              <a:t>Sun path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Equinox (Autumn)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'Equinoxes, Solstices (Model 2)'!$E$127:$E$129</c:f>
              <c:numCache>
                <c:formatCode>#,##0.00</c:formatCode>
                <c:ptCount val="3"/>
                <c:pt idx="0">
                  <c:v>89.203480191730762</c:v>
                </c:pt>
                <c:pt idx="1">
                  <c:v>180.02107393364383</c:v>
                </c:pt>
                <c:pt idx="2">
                  <c:v>270.68413867720506</c:v>
                </c:pt>
              </c:numCache>
            </c:numRef>
          </c:xVal>
          <c:yVal>
            <c:numRef>
              <c:f>'Equinoxes, Solstices (Model 2)'!$D$127:$D$129</c:f>
              <c:numCache>
                <c:formatCode>#,##0.00</c:formatCode>
                <c:ptCount val="3"/>
                <c:pt idx="0">
                  <c:v>0.10050017176994863</c:v>
                </c:pt>
                <c:pt idx="1">
                  <c:v>44.074168417252672</c:v>
                </c:pt>
                <c:pt idx="2">
                  <c:v>-6.1625303027414723E-2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B2-924D-81B6-E790710DE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766000"/>
        <c:axId val="2059767712"/>
      </c:scatterChart>
      <c:valAx>
        <c:axId val="205976600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7712"/>
        <c:crosses val="autoZero"/>
        <c:crossBetween val="midCat"/>
        <c:majorUnit val="45"/>
      </c:valAx>
      <c:valAx>
        <c:axId val="2059767712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GB"/>
              <a:t>Sun path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Solstice (Winter)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'Equinoxes, Solstices (Model 2)'!$E$170:$E$172</c:f>
              <c:numCache>
                <c:formatCode>#,##0.00</c:formatCode>
                <c:ptCount val="3"/>
                <c:pt idx="0">
                  <c:v>125.31823995825576</c:v>
                </c:pt>
                <c:pt idx="1">
                  <c:v>179.95786130147437</c:v>
                </c:pt>
                <c:pt idx="2">
                  <c:v>234.79834972069057</c:v>
                </c:pt>
              </c:numCache>
            </c:numRef>
          </c:xVal>
          <c:yVal>
            <c:numRef>
              <c:f>'Equinoxes, Solstices (Model 2)'!$D$170:$D$172</c:f>
              <c:numCache>
                <c:formatCode>#,##0.00</c:formatCode>
                <c:ptCount val="3"/>
                <c:pt idx="0">
                  <c:v>6.8761433219596324E-2</c:v>
                </c:pt>
                <c:pt idx="1">
                  <c:v>20.129611022776434</c:v>
                </c:pt>
                <c:pt idx="2">
                  <c:v>-2.5982070761018779E-2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97-A342-B9E3-1C86B97DF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766000"/>
        <c:axId val="2059767712"/>
      </c:scatterChart>
      <c:valAx>
        <c:axId val="205976600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7712"/>
        <c:crosses val="autoZero"/>
        <c:crossBetween val="midCat"/>
        <c:majorUnit val="45"/>
      </c:valAx>
      <c:valAx>
        <c:axId val="2059767712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GB"/>
              <a:t>Sun path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Solstice (Winter)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'Equinoxes, Solstices (Model 2)'!$E$170:$E$172</c:f>
              <c:numCache>
                <c:formatCode>#,##0.00</c:formatCode>
                <c:ptCount val="3"/>
                <c:pt idx="0">
                  <c:v>125.31823995825576</c:v>
                </c:pt>
                <c:pt idx="1">
                  <c:v>179.95786130147437</c:v>
                </c:pt>
                <c:pt idx="2">
                  <c:v>234.79834972069057</c:v>
                </c:pt>
              </c:numCache>
            </c:numRef>
          </c:xVal>
          <c:yVal>
            <c:numRef>
              <c:f>'Equinoxes, Solstices (Model 2)'!$D$170:$D$172</c:f>
              <c:numCache>
                <c:formatCode>#,##0.00</c:formatCode>
                <c:ptCount val="3"/>
                <c:pt idx="0">
                  <c:v>6.8761433219596324E-2</c:v>
                </c:pt>
                <c:pt idx="1">
                  <c:v>20.129611022776434</c:v>
                </c:pt>
                <c:pt idx="2">
                  <c:v>-2.5982070761018779E-2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AC-AA43-8763-EA04F18E6A7C}"/>
            </c:ext>
          </c:extLst>
        </c:ser>
        <c:ser>
          <c:idx val="1"/>
          <c:order val="1"/>
          <c:tx>
            <c:v>Equinox (Autumn)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'Equinoxes, Solstices (Model 2)'!$E$127:$E$129</c:f>
              <c:numCache>
                <c:formatCode>#,##0.00</c:formatCode>
                <c:ptCount val="3"/>
                <c:pt idx="0">
                  <c:v>89.203480191730762</c:v>
                </c:pt>
                <c:pt idx="1">
                  <c:v>180.02107393364383</c:v>
                </c:pt>
                <c:pt idx="2">
                  <c:v>270.68413867720506</c:v>
                </c:pt>
              </c:numCache>
            </c:numRef>
          </c:xVal>
          <c:yVal>
            <c:numRef>
              <c:f>'Equinoxes, Solstices (Model 2)'!$D$127:$D$129</c:f>
              <c:numCache>
                <c:formatCode>#,##0.00</c:formatCode>
                <c:ptCount val="3"/>
                <c:pt idx="0">
                  <c:v>0.10050017176994863</c:v>
                </c:pt>
                <c:pt idx="1">
                  <c:v>44.074168417252672</c:v>
                </c:pt>
                <c:pt idx="2">
                  <c:v>-6.1625303027414723E-2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AC-AA43-8763-EA04F18E6A7C}"/>
            </c:ext>
          </c:extLst>
        </c:ser>
        <c:ser>
          <c:idx val="2"/>
          <c:order val="2"/>
          <c:tx>
            <c:v>Solstice (Summer)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'Equinoxes, Solstices (Model 2)'!$E$84:$E$86</c:f>
              <c:numCache>
                <c:formatCode>#,##0.00</c:formatCode>
                <c:ptCount val="3"/>
                <c:pt idx="0">
                  <c:v>54.743520383644103</c:v>
                </c:pt>
                <c:pt idx="1">
                  <c:v>180.26372407755397</c:v>
                </c:pt>
                <c:pt idx="2">
                  <c:v>305.24214255659712</c:v>
                </c:pt>
              </c:numCache>
            </c:numRef>
          </c:xVal>
          <c:yVal>
            <c:numRef>
              <c:f>'Equinoxes, Solstices (Model 2)'!$D$84:$D$86</c:f>
              <c:numCache>
                <c:formatCode>#,##0.00</c:formatCode>
                <c:ptCount val="3"/>
                <c:pt idx="0">
                  <c:v>1.2112927514993111E-2</c:v>
                </c:pt>
                <c:pt idx="1">
                  <c:v>66.998077339903944</c:v>
                </c:pt>
                <c:pt idx="2">
                  <c:v>3.1508699712158063E-2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AC-AA43-8763-EA04F18E6A7C}"/>
            </c:ext>
          </c:extLst>
        </c:ser>
        <c:ser>
          <c:idx val="3"/>
          <c:order val="3"/>
          <c:tx>
            <c:v>Equinox (Spring)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'Equinoxes, Solstices (Model 2)'!$E$40:$E$42</c:f>
              <c:numCache>
                <c:formatCode>#,##0.00</c:formatCode>
                <c:ptCount val="3"/>
                <c:pt idx="0">
                  <c:v>90.289238646075731</c:v>
                </c:pt>
                <c:pt idx="1">
                  <c:v>179.91867007323776</c:v>
                </c:pt>
                <c:pt idx="2">
                  <c:v>269.94191352145202</c:v>
                </c:pt>
              </c:numCache>
            </c:numRef>
          </c:xVal>
          <c:yVal>
            <c:numRef>
              <c:f>'Equinoxes, Solstices (Model 2)'!$D$40:$D$42</c:f>
              <c:numCache>
                <c:formatCode>#,##0.00</c:formatCode>
                <c:ptCount val="3"/>
                <c:pt idx="0">
                  <c:v>-5.4825971507541767E-2</c:v>
                </c:pt>
                <c:pt idx="1">
                  <c:v>43.409178184375065</c:v>
                </c:pt>
                <c:pt idx="2">
                  <c:v>-3.1566588064073455E-3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AC-AA43-8763-EA04F18E6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766000"/>
        <c:axId val="2059767712"/>
      </c:scatterChart>
      <c:valAx>
        <c:axId val="205976600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7712"/>
        <c:crosses val="autoZero"/>
        <c:crossBetween val="midCat"/>
        <c:majorUnit val="45"/>
      </c:valAx>
      <c:valAx>
        <c:axId val="2059767712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05976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s://www.astronomy-morsels.ch/morsels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596900</xdr:colOff>
      <xdr:row>44</xdr:row>
      <xdr:rowOff>114300</xdr:rowOff>
    </xdr:from>
    <xdr:to>
      <xdr:col>9</xdr:col>
      <xdr:colOff>215900</xdr:colOff>
      <xdr:row>54</xdr:row>
      <xdr:rowOff>25400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149BC-8520-4C4B-E9DC-263481011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9969500"/>
          <a:ext cx="5397500" cy="194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759478</xdr:colOff>
      <xdr:row>16</xdr:row>
      <xdr:rowOff>0</xdr:rowOff>
    </xdr:from>
    <xdr:to>
      <xdr:col>10</xdr:col>
      <xdr:colOff>213185</xdr:colOff>
      <xdr:row>38</xdr:row>
      <xdr:rowOff>38100</xdr:rowOff>
    </xdr:to>
    <xdr:pic>
      <xdr:nvPicPr>
        <xdr:cNvPr id="2" name="Picture 1" descr="Solstices and Equinoxes: What Every Amateur Astronomer Needs to Know |  Celestron">
          <a:extLst>
            <a:ext uri="{FF2B5EF4-FFF2-40B4-BE49-F238E27FC236}">
              <a16:creationId xmlns:a16="http://schemas.microsoft.com/office/drawing/2014/main" id="{A0A7C955-B0FC-E042-6F7E-074CA0E9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78" y="3352800"/>
          <a:ext cx="6883207" cy="450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25</xdr:row>
      <xdr:rowOff>57150</xdr:rowOff>
    </xdr:from>
    <xdr:to>
      <xdr:col>14</xdr:col>
      <xdr:colOff>304800</xdr:colOff>
      <xdr:row>42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E9CFE4-073B-4849-81FB-6D8CB9BE6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361950</xdr:colOff>
      <xdr:row>69</xdr:row>
      <xdr:rowOff>57150</xdr:rowOff>
    </xdr:from>
    <xdr:to>
      <xdr:col>14</xdr:col>
      <xdr:colOff>304800</xdr:colOff>
      <xdr:row>86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C3B4A5-BCF6-6847-8F61-D1674C7AE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112</xdr:row>
      <xdr:rowOff>57150</xdr:rowOff>
    </xdr:from>
    <xdr:to>
      <xdr:col>14</xdr:col>
      <xdr:colOff>304800</xdr:colOff>
      <xdr:row>129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65C9AB-EB7C-0041-8B89-0E141F9D1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361950</xdr:colOff>
      <xdr:row>155</xdr:row>
      <xdr:rowOff>57150</xdr:rowOff>
    </xdr:from>
    <xdr:to>
      <xdr:col>14</xdr:col>
      <xdr:colOff>304800</xdr:colOff>
      <xdr:row>172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45A4BF-398B-E545-868D-74E118FFF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342900</xdr:colOff>
      <xdr:row>178</xdr:row>
      <xdr:rowOff>25400</xdr:rowOff>
    </xdr:from>
    <xdr:to>
      <xdr:col>14</xdr:col>
      <xdr:colOff>285750</xdr:colOff>
      <xdr:row>195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02CA28-0BF3-5645-9DB6-62212FD42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54</xdr:row>
      <xdr:rowOff>25400</xdr:rowOff>
    </xdr:from>
    <xdr:to>
      <xdr:col>9</xdr:col>
      <xdr:colOff>368300</xdr:colOff>
      <xdr:row>75</xdr:row>
      <xdr:rowOff>71903</xdr:rowOff>
    </xdr:to>
    <xdr:pic>
      <xdr:nvPicPr>
        <xdr:cNvPr id="5" name="Picture 4" descr="Solstices and equinoxes explained - BBC Sky at Night Magazine">
          <a:extLst>
            <a:ext uri="{FF2B5EF4-FFF2-40B4-BE49-F238E27FC236}">
              <a16:creationId xmlns:a16="http://schemas.microsoft.com/office/drawing/2014/main" id="{D5BC697F-FDF8-CDB8-9A25-83C0E494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0693400"/>
          <a:ext cx="6997700" cy="4047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787400</xdr:colOff>
      <xdr:row>0</xdr:row>
      <xdr:rowOff>152400</xdr:rowOff>
    </xdr:from>
    <xdr:to>
      <xdr:col>9</xdr:col>
      <xdr:colOff>361221</xdr:colOff>
      <xdr:row>51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FAEC2-DB49-4A68-445F-9FB0EB6FE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400" y="152400"/>
          <a:ext cx="7003321" cy="9626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veducation.org/pvcdrom/properties-of-sunlight/sun-position-calculator" TargetMode="External"/><Relationship Id="rId1" Type="http://schemas.openxmlformats.org/officeDocument/2006/relationships/hyperlink" Target="https://gml.noaa.gov/grad/solcalc/solareqn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940F-4CFD-5843-94DF-BBFEAA1B2116}">
  <sheetPr codeName="Sheet4"/>
  <dimension ref="A2:Q45"/>
  <sheetViews>
    <sheetView showGridLines="0" tabSelected="1" workbookViewId="0">
      <selection activeCell="I16" sqref="I16"/>
    </sheetView>
  </sheetViews>
  <sheetFormatPr baseColWidth="10" defaultRowHeight="16"/>
  <cols>
    <col min="1" max="16384" width="10.83203125" style="56"/>
  </cols>
  <sheetData>
    <row r="2" spans="2:11" ht="15" customHeight="1"/>
    <row r="3" spans="2:11" ht="16" customHeight="1">
      <c r="B3" s="127" t="s">
        <v>137</v>
      </c>
      <c r="C3" s="127"/>
      <c r="D3" s="127"/>
      <c r="E3" s="127"/>
      <c r="F3" s="127"/>
      <c r="G3" s="127"/>
      <c r="H3" s="127"/>
      <c r="I3" s="127"/>
      <c r="J3" s="127"/>
      <c r="K3" s="127"/>
    </row>
    <row r="4" spans="2:11" ht="16" customHeight="1"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2:11" ht="16" customHeight="1"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2:11" ht="16" customHeight="1"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2:11" ht="16" customHeight="1"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8" spans="2:11" ht="16" customHeight="1">
      <c r="B8" s="127"/>
      <c r="C8" s="127"/>
      <c r="D8" s="127"/>
      <c r="E8" s="127"/>
      <c r="F8" s="127"/>
      <c r="G8" s="127"/>
      <c r="H8" s="127"/>
      <c r="I8" s="127"/>
      <c r="J8" s="127"/>
      <c r="K8" s="127"/>
    </row>
    <row r="9" spans="2:11" ht="16" customHeight="1"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3" spans="2:11" ht="19">
      <c r="D13" s="1" t="s">
        <v>4</v>
      </c>
      <c r="E13" s="2"/>
      <c r="F13" s="3"/>
      <c r="G13" s="3"/>
      <c r="H13" s="3"/>
      <c r="I13" s="4" t="s">
        <v>0</v>
      </c>
    </row>
    <row r="14" spans="2:11" ht="19">
      <c r="D14" s="5"/>
      <c r="E14" s="6"/>
      <c r="F14" s="7"/>
      <c r="G14" s="7"/>
      <c r="H14" s="7"/>
      <c r="I14" s="8"/>
    </row>
    <row r="15" spans="2:11" ht="19">
      <c r="D15" s="9" t="s">
        <v>11</v>
      </c>
      <c r="E15" s="10"/>
      <c r="F15" s="11"/>
      <c r="G15" s="11"/>
      <c r="H15" s="11"/>
      <c r="I15" s="12" t="s">
        <v>138</v>
      </c>
    </row>
    <row r="25" spans="3:16">
      <c r="C25" s="57"/>
    </row>
    <row r="27" spans="3:16">
      <c r="P27" s="57"/>
    </row>
    <row r="28" spans="3:16">
      <c r="D28" s="57"/>
    </row>
    <row r="39" spans="1:17">
      <c r="A39" s="58" t="s">
        <v>13</v>
      </c>
      <c r="Q39" s="57"/>
    </row>
    <row r="40" spans="1:17">
      <c r="A40" s="57"/>
    </row>
    <row r="41" spans="1:17">
      <c r="B41" s="128" t="s">
        <v>1</v>
      </c>
      <c r="C41" s="129"/>
      <c r="D41" s="129"/>
      <c r="E41" s="129"/>
      <c r="F41" s="129"/>
      <c r="G41" s="129"/>
      <c r="H41" s="129"/>
      <c r="I41" s="129"/>
      <c r="J41" s="129"/>
      <c r="K41" s="130"/>
    </row>
    <row r="42" spans="1:17">
      <c r="B42" s="131" t="s">
        <v>2</v>
      </c>
      <c r="C42" s="132"/>
      <c r="D42" s="132"/>
      <c r="E42" s="132"/>
      <c r="F42" s="132"/>
      <c r="G42" s="132"/>
      <c r="H42" s="132"/>
      <c r="I42" s="132"/>
      <c r="J42" s="132"/>
      <c r="K42" s="133"/>
    </row>
    <row r="43" spans="1:17">
      <c r="B43" s="134" t="s">
        <v>3</v>
      </c>
      <c r="C43" s="135"/>
      <c r="D43" s="135"/>
      <c r="E43" s="135"/>
      <c r="F43" s="135"/>
      <c r="G43" s="135"/>
      <c r="H43" s="135"/>
      <c r="I43" s="135"/>
      <c r="J43" s="135"/>
      <c r="K43" s="136"/>
    </row>
    <row r="45" spans="1:17">
      <c r="Q45" s="57"/>
    </row>
  </sheetData>
  <sheetProtection sheet="1" objects="1" scenarios="1"/>
  <mergeCells count="4">
    <mergeCell ref="B3:K9"/>
    <mergeCell ref="B41:K41"/>
    <mergeCell ref="B42:K42"/>
    <mergeCell ref="B43:K43"/>
  </mergeCells>
  <hyperlinks>
    <hyperlink ref="I13" r:id="rId1" xr:uid="{60E68FAD-CE54-204D-BE8F-AA8992F34899}"/>
    <hyperlink ref="B41" r:id="rId2" display="http://www.astronomy-morsels.ch/" xr:uid="{658673F1-EC19-9849-A093-CD89D563BEA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F69C-B988-6C40-B056-B8439BE51A08}">
  <dimension ref="B2:AK59"/>
  <sheetViews>
    <sheetView showGridLines="0" zoomScaleNormal="100" workbookViewId="0">
      <selection activeCell="F51" sqref="F51"/>
    </sheetView>
  </sheetViews>
  <sheetFormatPr baseColWidth="10" defaultColWidth="9" defaultRowHeight="16"/>
  <cols>
    <col min="1" max="1" width="9" style="13"/>
    <col min="2" max="2" width="18.33203125" style="13" customWidth="1"/>
    <col min="3" max="14" width="13.33203125" style="13" customWidth="1"/>
    <col min="15" max="15" width="9" style="13"/>
    <col min="16" max="16" width="3.33203125" style="54" customWidth="1"/>
    <col min="17" max="17" width="9" style="13"/>
    <col min="18" max="18" width="11.83203125" style="13" customWidth="1"/>
    <col min="19" max="22" width="15.83203125" style="13" customWidth="1"/>
    <col min="23" max="23" width="9" style="13"/>
    <col min="24" max="25" width="15.83203125" style="13" customWidth="1"/>
    <col min="26" max="36" width="9" style="13"/>
    <col min="37" max="37" width="10.83203125" style="13" customWidth="1"/>
    <col min="38" max="203" width="9" style="13"/>
    <col min="204" max="204" width="29.33203125" style="13" customWidth="1"/>
    <col min="205" max="205" width="13.6640625" style="13" customWidth="1"/>
    <col min="206" max="229" width="15.83203125" style="13" customWidth="1"/>
    <col min="230" max="459" width="9" style="13"/>
    <col min="460" max="460" width="29.33203125" style="13" customWidth="1"/>
    <col min="461" max="461" width="13.6640625" style="13" customWidth="1"/>
    <col min="462" max="485" width="15.83203125" style="13" customWidth="1"/>
    <col min="486" max="715" width="9" style="13"/>
    <col min="716" max="716" width="29.33203125" style="13" customWidth="1"/>
    <col min="717" max="717" width="13.6640625" style="13" customWidth="1"/>
    <col min="718" max="741" width="15.83203125" style="13" customWidth="1"/>
    <col min="742" max="971" width="9" style="13"/>
    <col min="972" max="972" width="29.33203125" style="13" customWidth="1"/>
    <col min="973" max="973" width="13.6640625" style="13" customWidth="1"/>
    <col min="974" max="997" width="15.83203125" style="13" customWidth="1"/>
    <col min="998" max="1227" width="9" style="13"/>
    <col min="1228" max="1228" width="29.33203125" style="13" customWidth="1"/>
    <col min="1229" max="1229" width="13.6640625" style="13" customWidth="1"/>
    <col min="1230" max="1253" width="15.83203125" style="13" customWidth="1"/>
    <col min="1254" max="1483" width="9" style="13"/>
    <col min="1484" max="1484" width="29.33203125" style="13" customWidth="1"/>
    <col min="1485" max="1485" width="13.6640625" style="13" customWidth="1"/>
    <col min="1486" max="1509" width="15.83203125" style="13" customWidth="1"/>
    <col min="1510" max="1739" width="9" style="13"/>
    <col min="1740" max="1740" width="29.33203125" style="13" customWidth="1"/>
    <col min="1741" max="1741" width="13.6640625" style="13" customWidth="1"/>
    <col min="1742" max="1765" width="15.83203125" style="13" customWidth="1"/>
    <col min="1766" max="1995" width="9" style="13"/>
    <col min="1996" max="1996" width="29.33203125" style="13" customWidth="1"/>
    <col min="1997" max="1997" width="13.6640625" style="13" customWidth="1"/>
    <col min="1998" max="2021" width="15.83203125" style="13" customWidth="1"/>
    <col min="2022" max="2251" width="9" style="13"/>
    <col min="2252" max="2252" width="29.33203125" style="13" customWidth="1"/>
    <col min="2253" max="2253" width="13.6640625" style="13" customWidth="1"/>
    <col min="2254" max="2277" width="15.83203125" style="13" customWidth="1"/>
    <col min="2278" max="2507" width="9" style="13"/>
    <col min="2508" max="2508" width="29.33203125" style="13" customWidth="1"/>
    <col min="2509" max="2509" width="13.6640625" style="13" customWidth="1"/>
    <col min="2510" max="2533" width="15.83203125" style="13" customWidth="1"/>
    <col min="2534" max="2763" width="9" style="13"/>
    <col min="2764" max="2764" width="29.33203125" style="13" customWidth="1"/>
    <col min="2765" max="2765" width="13.6640625" style="13" customWidth="1"/>
    <col min="2766" max="2789" width="15.83203125" style="13" customWidth="1"/>
    <col min="2790" max="3019" width="9" style="13"/>
    <col min="3020" max="3020" width="29.33203125" style="13" customWidth="1"/>
    <col min="3021" max="3021" width="13.6640625" style="13" customWidth="1"/>
    <col min="3022" max="3045" width="15.83203125" style="13" customWidth="1"/>
    <col min="3046" max="3275" width="9" style="13"/>
    <col min="3276" max="3276" width="29.33203125" style="13" customWidth="1"/>
    <col min="3277" max="3277" width="13.6640625" style="13" customWidth="1"/>
    <col min="3278" max="3301" width="15.83203125" style="13" customWidth="1"/>
    <col min="3302" max="3531" width="9" style="13"/>
    <col min="3532" max="3532" width="29.33203125" style="13" customWidth="1"/>
    <col min="3533" max="3533" width="13.6640625" style="13" customWidth="1"/>
    <col min="3534" max="3557" width="15.83203125" style="13" customWidth="1"/>
    <col min="3558" max="3787" width="9" style="13"/>
    <col min="3788" max="3788" width="29.33203125" style="13" customWidth="1"/>
    <col min="3789" max="3789" width="13.6640625" style="13" customWidth="1"/>
    <col min="3790" max="3813" width="15.83203125" style="13" customWidth="1"/>
    <col min="3814" max="4043" width="9" style="13"/>
    <col min="4044" max="4044" width="29.33203125" style="13" customWidth="1"/>
    <col min="4045" max="4045" width="13.6640625" style="13" customWidth="1"/>
    <col min="4046" max="4069" width="15.83203125" style="13" customWidth="1"/>
    <col min="4070" max="4299" width="9" style="13"/>
    <col min="4300" max="4300" width="29.33203125" style="13" customWidth="1"/>
    <col min="4301" max="4301" width="13.6640625" style="13" customWidth="1"/>
    <col min="4302" max="4325" width="15.83203125" style="13" customWidth="1"/>
    <col min="4326" max="4555" width="9" style="13"/>
    <col min="4556" max="4556" width="29.33203125" style="13" customWidth="1"/>
    <col min="4557" max="4557" width="13.6640625" style="13" customWidth="1"/>
    <col min="4558" max="4581" width="15.83203125" style="13" customWidth="1"/>
    <col min="4582" max="4811" width="9" style="13"/>
    <col min="4812" max="4812" width="29.33203125" style="13" customWidth="1"/>
    <col min="4813" max="4813" width="13.6640625" style="13" customWidth="1"/>
    <col min="4814" max="4837" width="15.83203125" style="13" customWidth="1"/>
    <col min="4838" max="5067" width="9" style="13"/>
    <col min="5068" max="5068" width="29.33203125" style="13" customWidth="1"/>
    <col min="5069" max="5069" width="13.6640625" style="13" customWidth="1"/>
    <col min="5070" max="5093" width="15.83203125" style="13" customWidth="1"/>
    <col min="5094" max="5323" width="9" style="13"/>
    <col min="5324" max="5324" width="29.33203125" style="13" customWidth="1"/>
    <col min="5325" max="5325" width="13.6640625" style="13" customWidth="1"/>
    <col min="5326" max="5349" width="15.83203125" style="13" customWidth="1"/>
    <col min="5350" max="5579" width="9" style="13"/>
    <col min="5580" max="5580" width="29.33203125" style="13" customWidth="1"/>
    <col min="5581" max="5581" width="13.6640625" style="13" customWidth="1"/>
    <col min="5582" max="5605" width="15.83203125" style="13" customWidth="1"/>
    <col min="5606" max="5835" width="9" style="13"/>
    <col min="5836" max="5836" width="29.33203125" style="13" customWidth="1"/>
    <col min="5837" max="5837" width="13.6640625" style="13" customWidth="1"/>
    <col min="5838" max="5861" width="15.83203125" style="13" customWidth="1"/>
    <col min="5862" max="6091" width="9" style="13"/>
    <col min="6092" max="6092" width="29.33203125" style="13" customWidth="1"/>
    <col min="6093" max="6093" width="13.6640625" style="13" customWidth="1"/>
    <col min="6094" max="6117" width="15.83203125" style="13" customWidth="1"/>
    <col min="6118" max="6347" width="9" style="13"/>
    <col min="6348" max="6348" width="29.33203125" style="13" customWidth="1"/>
    <col min="6349" max="6349" width="13.6640625" style="13" customWidth="1"/>
    <col min="6350" max="6373" width="15.83203125" style="13" customWidth="1"/>
    <col min="6374" max="6603" width="9" style="13"/>
    <col min="6604" max="6604" width="29.33203125" style="13" customWidth="1"/>
    <col min="6605" max="6605" width="13.6640625" style="13" customWidth="1"/>
    <col min="6606" max="6629" width="15.83203125" style="13" customWidth="1"/>
    <col min="6630" max="6859" width="9" style="13"/>
    <col min="6860" max="6860" width="29.33203125" style="13" customWidth="1"/>
    <col min="6861" max="6861" width="13.6640625" style="13" customWidth="1"/>
    <col min="6862" max="6885" width="15.83203125" style="13" customWidth="1"/>
    <col min="6886" max="7115" width="9" style="13"/>
    <col min="7116" max="7116" width="29.33203125" style="13" customWidth="1"/>
    <col min="7117" max="7117" width="13.6640625" style="13" customWidth="1"/>
    <col min="7118" max="7141" width="15.83203125" style="13" customWidth="1"/>
    <col min="7142" max="7371" width="9" style="13"/>
    <col min="7372" max="7372" width="29.33203125" style="13" customWidth="1"/>
    <col min="7373" max="7373" width="13.6640625" style="13" customWidth="1"/>
    <col min="7374" max="7397" width="15.83203125" style="13" customWidth="1"/>
    <col min="7398" max="7627" width="9" style="13"/>
    <col min="7628" max="7628" width="29.33203125" style="13" customWidth="1"/>
    <col min="7629" max="7629" width="13.6640625" style="13" customWidth="1"/>
    <col min="7630" max="7653" width="15.83203125" style="13" customWidth="1"/>
    <col min="7654" max="7883" width="9" style="13"/>
    <col min="7884" max="7884" width="29.33203125" style="13" customWidth="1"/>
    <col min="7885" max="7885" width="13.6640625" style="13" customWidth="1"/>
    <col min="7886" max="7909" width="15.83203125" style="13" customWidth="1"/>
    <col min="7910" max="8139" width="9" style="13"/>
    <col min="8140" max="8140" width="29.33203125" style="13" customWidth="1"/>
    <col min="8141" max="8141" width="13.6640625" style="13" customWidth="1"/>
    <col min="8142" max="8165" width="15.83203125" style="13" customWidth="1"/>
    <col min="8166" max="8395" width="9" style="13"/>
    <col min="8396" max="8396" width="29.33203125" style="13" customWidth="1"/>
    <col min="8397" max="8397" width="13.6640625" style="13" customWidth="1"/>
    <col min="8398" max="8421" width="15.83203125" style="13" customWidth="1"/>
    <col min="8422" max="8651" width="9" style="13"/>
    <col min="8652" max="8652" width="29.33203125" style="13" customWidth="1"/>
    <col min="8653" max="8653" width="13.6640625" style="13" customWidth="1"/>
    <col min="8654" max="8677" width="15.83203125" style="13" customWidth="1"/>
    <col min="8678" max="8907" width="9" style="13"/>
    <col min="8908" max="8908" width="29.33203125" style="13" customWidth="1"/>
    <col min="8909" max="8909" width="13.6640625" style="13" customWidth="1"/>
    <col min="8910" max="8933" width="15.83203125" style="13" customWidth="1"/>
    <col min="8934" max="9163" width="9" style="13"/>
    <col min="9164" max="9164" width="29.33203125" style="13" customWidth="1"/>
    <col min="9165" max="9165" width="13.6640625" style="13" customWidth="1"/>
    <col min="9166" max="9189" width="15.83203125" style="13" customWidth="1"/>
    <col min="9190" max="9419" width="9" style="13"/>
    <col min="9420" max="9420" width="29.33203125" style="13" customWidth="1"/>
    <col min="9421" max="9421" width="13.6640625" style="13" customWidth="1"/>
    <col min="9422" max="9445" width="15.83203125" style="13" customWidth="1"/>
    <col min="9446" max="9675" width="9" style="13"/>
    <col min="9676" max="9676" width="29.33203125" style="13" customWidth="1"/>
    <col min="9677" max="9677" width="13.6640625" style="13" customWidth="1"/>
    <col min="9678" max="9701" width="15.83203125" style="13" customWidth="1"/>
    <col min="9702" max="9931" width="9" style="13"/>
    <col min="9932" max="9932" width="29.33203125" style="13" customWidth="1"/>
    <col min="9933" max="9933" width="13.6640625" style="13" customWidth="1"/>
    <col min="9934" max="9957" width="15.83203125" style="13" customWidth="1"/>
    <col min="9958" max="10187" width="9" style="13"/>
    <col min="10188" max="10188" width="29.33203125" style="13" customWidth="1"/>
    <col min="10189" max="10189" width="13.6640625" style="13" customWidth="1"/>
    <col min="10190" max="10213" width="15.83203125" style="13" customWidth="1"/>
    <col min="10214" max="10443" width="9" style="13"/>
    <col min="10444" max="10444" width="29.33203125" style="13" customWidth="1"/>
    <col min="10445" max="10445" width="13.6640625" style="13" customWidth="1"/>
    <col min="10446" max="10469" width="15.83203125" style="13" customWidth="1"/>
    <col min="10470" max="10699" width="9" style="13"/>
    <col min="10700" max="10700" width="29.33203125" style="13" customWidth="1"/>
    <col min="10701" max="10701" width="13.6640625" style="13" customWidth="1"/>
    <col min="10702" max="10725" width="15.83203125" style="13" customWidth="1"/>
    <col min="10726" max="10955" width="9" style="13"/>
    <col min="10956" max="10956" width="29.33203125" style="13" customWidth="1"/>
    <col min="10957" max="10957" width="13.6640625" style="13" customWidth="1"/>
    <col min="10958" max="10981" width="15.83203125" style="13" customWidth="1"/>
    <col min="10982" max="11211" width="9" style="13"/>
    <col min="11212" max="11212" width="29.33203125" style="13" customWidth="1"/>
    <col min="11213" max="11213" width="13.6640625" style="13" customWidth="1"/>
    <col min="11214" max="11237" width="15.83203125" style="13" customWidth="1"/>
    <col min="11238" max="11467" width="9" style="13"/>
    <col min="11468" max="11468" width="29.33203125" style="13" customWidth="1"/>
    <col min="11469" max="11469" width="13.6640625" style="13" customWidth="1"/>
    <col min="11470" max="11493" width="15.83203125" style="13" customWidth="1"/>
    <col min="11494" max="11723" width="9" style="13"/>
    <col min="11724" max="11724" width="29.33203125" style="13" customWidth="1"/>
    <col min="11725" max="11725" width="13.6640625" style="13" customWidth="1"/>
    <col min="11726" max="11749" width="15.83203125" style="13" customWidth="1"/>
    <col min="11750" max="11979" width="9" style="13"/>
    <col min="11980" max="11980" width="29.33203125" style="13" customWidth="1"/>
    <col min="11981" max="11981" width="13.6640625" style="13" customWidth="1"/>
    <col min="11982" max="12005" width="15.83203125" style="13" customWidth="1"/>
    <col min="12006" max="12235" width="9" style="13"/>
    <col min="12236" max="12236" width="29.33203125" style="13" customWidth="1"/>
    <col min="12237" max="12237" width="13.6640625" style="13" customWidth="1"/>
    <col min="12238" max="12261" width="15.83203125" style="13" customWidth="1"/>
    <col min="12262" max="12491" width="9" style="13"/>
    <col min="12492" max="12492" width="29.33203125" style="13" customWidth="1"/>
    <col min="12493" max="12493" width="13.6640625" style="13" customWidth="1"/>
    <col min="12494" max="12517" width="15.83203125" style="13" customWidth="1"/>
    <col min="12518" max="12747" width="9" style="13"/>
    <col min="12748" max="12748" width="29.33203125" style="13" customWidth="1"/>
    <col min="12749" max="12749" width="13.6640625" style="13" customWidth="1"/>
    <col min="12750" max="12773" width="15.83203125" style="13" customWidth="1"/>
    <col min="12774" max="13003" width="9" style="13"/>
    <col min="13004" max="13004" width="29.33203125" style="13" customWidth="1"/>
    <col min="13005" max="13005" width="13.6640625" style="13" customWidth="1"/>
    <col min="13006" max="13029" width="15.83203125" style="13" customWidth="1"/>
    <col min="13030" max="13259" width="9" style="13"/>
    <col min="13260" max="13260" width="29.33203125" style="13" customWidth="1"/>
    <col min="13261" max="13261" width="13.6640625" style="13" customWidth="1"/>
    <col min="13262" max="13285" width="15.83203125" style="13" customWidth="1"/>
    <col min="13286" max="13515" width="9" style="13"/>
    <col min="13516" max="13516" width="29.33203125" style="13" customWidth="1"/>
    <col min="13517" max="13517" width="13.6640625" style="13" customWidth="1"/>
    <col min="13518" max="13541" width="15.83203125" style="13" customWidth="1"/>
    <col min="13542" max="13771" width="9" style="13"/>
    <col min="13772" max="13772" width="29.33203125" style="13" customWidth="1"/>
    <col min="13773" max="13773" width="13.6640625" style="13" customWidth="1"/>
    <col min="13774" max="13797" width="15.83203125" style="13" customWidth="1"/>
    <col min="13798" max="14027" width="9" style="13"/>
    <col min="14028" max="14028" width="29.33203125" style="13" customWidth="1"/>
    <col min="14029" max="14029" width="13.6640625" style="13" customWidth="1"/>
    <col min="14030" max="14053" width="15.83203125" style="13" customWidth="1"/>
    <col min="14054" max="14283" width="9" style="13"/>
    <col min="14284" max="14284" width="29.33203125" style="13" customWidth="1"/>
    <col min="14285" max="14285" width="13.6640625" style="13" customWidth="1"/>
    <col min="14286" max="14309" width="15.83203125" style="13" customWidth="1"/>
    <col min="14310" max="14539" width="9" style="13"/>
    <col min="14540" max="14540" width="29.33203125" style="13" customWidth="1"/>
    <col min="14541" max="14541" width="13.6640625" style="13" customWidth="1"/>
    <col min="14542" max="14565" width="15.83203125" style="13" customWidth="1"/>
    <col min="14566" max="14795" width="9" style="13"/>
    <col min="14796" max="14796" width="29.33203125" style="13" customWidth="1"/>
    <col min="14797" max="14797" width="13.6640625" style="13" customWidth="1"/>
    <col min="14798" max="14821" width="15.83203125" style="13" customWidth="1"/>
    <col min="14822" max="15051" width="9" style="13"/>
    <col min="15052" max="15052" width="29.33203125" style="13" customWidth="1"/>
    <col min="15053" max="15053" width="13.6640625" style="13" customWidth="1"/>
    <col min="15054" max="15077" width="15.83203125" style="13" customWidth="1"/>
    <col min="15078" max="15307" width="9" style="13"/>
    <col min="15308" max="15308" width="29.33203125" style="13" customWidth="1"/>
    <col min="15309" max="15309" width="13.6640625" style="13" customWidth="1"/>
    <col min="15310" max="15333" width="15.83203125" style="13" customWidth="1"/>
    <col min="15334" max="15563" width="9" style="13"/>
    <col min="15564" max="15564" width="29.33203125" style="13" customWidth="1"/>
    <col min="15565" max="15565" width="13.6640625" style="13" customWidth="1"/>
    <col min="15566" max="15589" width="15.83203125" style="13" customWidth="1"/>
    <col min="15590" max="15819" width="9" style="13"/>
    <col min="15820" max="15820" width="29.33203125" style="13" customWidth="1"/>
    <col min="15821" max="15821" width="13.6640625" style="13" customWidth="1"/>
    <col min="15822" max="15845" width="15.83203125" style="13" customWidth="1"/>
    <col min="15846" max="16075" width="9" style="13"/>
    <col min="16076" max="16076" width="29.33203125" style="13" customWidth="1"/>
    <col min="16077" max="16077" width="13.6640625" style="13" customWidth="1"/>
    <col min="16078" max="16101" width="15.83203125" style="13" customWidth="1"/>
    <col min="16102" max="16384" width="9" style="13"/>
  </cols>
  <sheetData>
    <row r="2" spans="2:37" ht="19">
      <c r="C2" s="16" t="s">
        <v>92</v>
      </c>
      <c r="R2" s="34" t="s">
        <v>76</v>
      </c>
    </row>
    <row r="3" spans="2:37">
      <c r="B3" s="19" t="s">
        <v>14</v>
      </c>
      <c r="C3" s="21">
        <v>2024</v>
      </c>
    </row>
    <row r="4" spans="2:37" ht="21">
      <c r="B4" s="48" t="s">
        <v>90</v>
      </c>
      <c r="C4" s="49" t="str">
        <f>IF(OR(MOD(C3,400)=0,AND(MOD(C3,4)=0,MOD(C3,100)&lt;&gt;9)),"Y", "N")</f>
        <v>Y</v>
      </c>
      <c r="R4" s="14" t="s">
        <v>12</v>
      </c>
      <c r="S4" s="51"/>
      <c r="T4" s="52"/>
      <c r="U4" s="17"/>
      <c r="V4" s="17"/>
      <c r="AC4" s="15"/>
    </row>
    <row r="5" spans="2:37">
      <c r="C5" s="47"/>
      <c r="S5" s="32"/>
      <c r="T5" s="33"/>
      <c r="AC5" s="15"/>
    </row>
    <row r="6" spans="2:37">
      <c r="C6" s="20" t="s">
        <v>5</v>
      </c>
      <c r="D6" s="19" t="s">
        <v>6</v>
      </c>
      <c r="E6" s="50" t="s">
        <v>91</v>
      </c>
      <c r="O6" s="15"/>
      <c r="P6" s="55"/>
      <c r="R6" s="13" t="s">
        <v>10</v>
      </c>
      <c r="S6" s="15">
        <f>PI()/180</f>
        <v>1.7453292519943295E-2</v>
      </c>
      <c r="T6" s="33"/>
      <c r="AC6" s="15"/>
    </row>
    <row r="7" spans="2:37">
      <c r="B7" s="18" t="s">
        <v>21</v>
      </c>
      <c r="C7" s="30">
        <f>DATE(S17,S18,S19)</f>
        <v>45371</v>
      </c>
      <c r="D7" s="31">
        <f>TIME(S20,S21,S22)</f>
        <v>0.13037037037037036</v>
      </c>
      <c r="E7" s="50">
        <f>IF(MONTH($C7)=1,0,IF(MONTH($C7)=2,31,IF(MONTH($C7)=3,59,IF(MONTH($C7)=4,90,IF(MONTH($C7)=5,120,IF(MONTH($C7)=6,151,IF(MONTH($C7)=7,181,IF(MONTH($C7)=8,212,IF(MONTH($C7)=9,243,IF(MONTH($C7)=10,273,IF(MONTH($C7)=11,304,334)))))))))))+DAY($C$7)+IF(AND(MONTH($C7)&gt;2,$C$4="Y"),1,0)</f>
        <v>80</v>
      </c>
      <c r="O7" s="15"/>
      <c r="P7" s="55"/>
      <c r="R7" s="13" t="s">
        <v>25</v>
      </c>
      <c r="S7" s="22">
        <f>($C3-2000)/1000</f>
        <v>2.4E-2</v>
      </c>
      <c r="T7" s="33"/>
      <c r="AC7" s="15"/>
    </row>
    <row r="8" spans="2:37">
      <c r="B8" s="18" t="s">
        <v>22</v>
      </c>
      <c r="C8" s="30">
        <f>DATE(T17,T18,T19)</f>
        <v>45463</v>
      </c>
      <c r="D8" s="31">
        <f>TIME(T20,T21,T22)</f>
        <v>0.86947916666666669</v>
      </c>
      <c r="E8" s="50">
        <f>IF(MONTH($C8)=1,0,IF(MONTH($C8)=2,31,IF(MONTH($C8)=3,59,IF(MONTH($C8)=4,90,IF(MONTH($C8)=5,120,IF(MONTH($C8)=6,151,IF(MONTH($C8)=7,181,IF(MONTH($C8)=8,212,IF(MONTH($C8)=9,243,IF(MONTH($C8)=10,273,IF(MONTH($C8)=11,304,334)))))))))))+DAY($C$7)+IF(AND(MONTH($C8)&gt;2,$C$4="Y"),1,0)</f>
        <v>172</v>
      </c>
      <c r="O8" s="15"/>
      <c r="P8" s="55"/>
      <c r="S8" s="22"/>
      <c r="AC8" s="15"/>
    </row>
    <row r="9" spans="2:37">
      <c r="B9" s="18" t="s">
        <v>23</v>
      </c>
      <c r="C9" s="30">
        <f>DATE(U17,U18,U19)</f>
        <v>45557</v>
      </c>
      <c r="D9" s="31">
        <f>TIME(U20,U21,U22)</f>
        <v>0.53129629629629627</v>
      </c>
      <c r="E9" s="50">
        <f>IF(MONTH($C9)=1,0,IF(MONTH($C9)=2,31,IF(MONTH($C9)=3,59,IF(MONTH($C9)=4,90,IF(MONTH($C9)=5,120,IF(MONTH($C9)=6,151,IF(MONTH($C9)=7,181,IF(MONTH($C9)=8,212,IF(MONTH($C9)=9,243,IF(MONTH($C9)=10,273,IF(MONTH($C9)=11,304,334)))))))))))+DAY($C$7)+IF(AND(MONTH($C9)&gt;2,$C$4="Y"),1,0)</f>
        <v>264</v>
      </c>
      <c r="O9" s="15"/>
      <c r="P9" s="55"/>
      <c r="S9" s="24" t="s">
        <v>54</v>
      </c>
      <c r="T9" s="24" t="s">
        <v>53</v>
      </c>
      <c r="U9" s="24" t="s">
        <v>55</v>
      </c>
      <c r="V9" s="24" t="s">
        <v>56</v>
      </c>
      <c r="X9" s="138" t="s">
        <v>26</v>
      </c>
      <c r="Y9" s="139"/>
      <c r="Z9" s="53"/>
      <c r="AA9" s="53"/>
      <c r="AB9" s="53"/>
      <c r="AE9" s="24" t="s">
        <v>54</v>
      </c>
      <c r="AF9" s="24" t="s">
        <v>53</v>
      </c>
      <c r="AG9" s="24" t="s">
        <v>55</v>
      </c>
      <c r="AH9" s="24" t="s">
        <v>56</v>
      </c>
      <c r="AI9" s="24" t="s">
        <v>27</v>
      </c>
      <c r="AJ9" s="24" t="s">
        <v>28</v>
      </c>
      <c r="AK9" s="24" t="s">
        <v>8</v>
      </c>
    </row>
    <row r="10" spans="2:37" ht="18">
      <c r="B10" s="18" t="s">
        <v>24</v>
      </c>
      <c r="C10" s="30">
        <f>DATE(V17,V18,V19)</f>
        <v>45647</v>
      </c>
      <c r="D10" s="31">
        <f>TIME(V20,V21,V22)</f>
        <v>0.39004629629629628</v>
      </c>
      <c r="E10" s="50">
        <f>IF(MONTH($C10)=1,0,IF(MONTH($C10)=2,31,IF(MONTH($C10)=3,59,IF(MONTH($C10)=4,90,IF(MONTH($C10)=5,120,IF(MONTH($C10)=6,151,IF(MONTH($C10)=7,181,IF(MONTH($C10)=8,212,IF(MONTH($C10)=9,243,IF(MONTH($C10)=10,273,IF(MONTH($C10)=11,304,334)))))))))))+DAY($C$7)+IF(AND(MONTH($C10)&gt;2,$C$4="Y"),1,0)</f>
        <v>355</v>
      </c>
      <c r="O10" s="15"/>
      <c r="P10" s="55"/>
      <c r="R10" s="25" t="s">
        <v>20</v>
      </c>
      <c r="S10" s="23">
        <f>$X10+$Y10*$S$7+$Z10*POWER($S$7,2)+$AA10*POWER($S$7,3)+$AB10*POWER($S$7,4)</f>
        <v>2460389.6268466762</v>
      </c>
      <c r="T10" s="23">
        <f>$X11+$Y11*$S$7+$Z11*POWER($S$7,2)+$AA11*POWER($S$7,3)+$AB11*POWER($S$7,4)</f>
        <v>2460482.3666967149</v>
      </c>
      <c r="U10" s="23">
        <f>$X12+$Y12*$S$7+$Z12*POWER($S$7,2)+$AA12*POWER($S$7,3)+$AB12*POWER($S$7,4)</f>
        <v>2460576.0256407987</v>
      </c>
      <c r="V10" s="23">
        <f>$X13+$Y13*$S$7+$Z13*POWER($S$7,2)+$AA13*POWER($S$7,3)+$AB13*POWER($S$7,4)</f>
        <v>2460665.885327491</v>
      </c>
      <c r="X10" s="23">
        <v>2451623.8098399998</v>
      </c>
      <c r="Y10" s="23">
        <v>365242.37404000002</v>
      </c>
      <c r="Z10" s="23">
        <v>5.169E-2</v>
      </c>
      <c r="AA10" s="23">
        <v>-4.1099999999999999E-3</v>
      </c>
      <c r="AB10" s="23">
        <v>-5.6999999999999998E-4</v>
      </c>
      <c r="AD10" s="24" t="s">
        <v>29</v>
      </c>
      <c r="AE10" s="24">
        <f t="shared" ref="AE10:AE33" si="0">$AI10*COS($S$6*($AJ10+$AK10*S$11))</f>
        <v>139.23828103245327</v>
      </c>
      <c r="AF10" s="24">
        <f t="shared" ref="AF10:AF33" si="1">$AI10*COS($S$6*($AJ10+$AK10*T$11))</f>
        <v>98.955605693888984</v>
      </c>
      <c r="AG10" s="24">
        <f t="shared" ref="AG10:AG33" si="2">$AI10*COS($S$6*($AJ10+$AK10*U$11))</f>
        <v>57.537347398179719</v>
      </c>
      <c r="AH10" s="24">
        <f t="shared" ref="AH10:AH33" si="3">$AI10*COS($S$6*($AJ10+$AK10*V$11))</f>
        <v>17.390248186194153</v>
      </c>
      <c r="AI10" s="25">
        <v>485</v>
      </c>
      <c r="AJ10" s="26">
        <v>324.95999999999998</v>
      </c>
      <c r="AK10" s="27">
        <v>1934.136</v>
      </c>
    </row>
    <row r="11" spans="2:37" ht="18">
      <c r="C11" s="32"/>
      <c r="D11" s="33"/>
      <c r="O11" s="15"/>
      <c r="P11" s="55"/>
      <c r="R11" s="25" t="s">
        <v>15</v>
      </c>
      <c r="S11" s="23">
        <f>(S10-2451545)/36525</f>
        <v>0.24215268574062224</v>
      </c>
      <c r="T11" s="23">
        <f t="shared" ref="T11:V11" si="4">(T10-2451545)/36525</f>
        <v>0.24469176445489088</v>
      </c>
      <c r="U11" s="23">
        <f t="shared" si="4"/>
        <v>0.24725600659270999</v>
      </c>
      <c r="V11" s="23">
        <f t="shared" si="4"/>
        <v>0.24971623073212806</v>
      </c>
      <c r="X11" s="23">
        <v>2451716.5676699998</v>
      </c>
      <c r="Y11" s="23">
        <v>365241.62602999998</v>
      </c>
      <c r="Z11" s="23">
        <v>3.2499999999999999E-3</v>
      </c>
      <c r="AA11" s="23">
        <v>8.8800000000000007E-3</v>
      </c>
      <c r="AB11" s="23">
        <v>-2.9999999999999997E-4</v>
      </c>
      <c r="AD11" s="24" t="s">
        <v>30</v>
      </c>
      <c r="AE11" s="24">
        <f t="shared" si="0"/>
        <v>156.26905968987211</v>
      </c>
      <c r="AF11" s="24">
        <f t="shared" si="1"/>
        <v>-111.63988467132718</v>
      </c>
      <c r="AG11" s="24">
        <f t="shared" si="2"/>
        <v>-179.41690542822991</v>
      </c>
      <c r="AH11" s="24">
        <f t="shared" si="3"/>
        <v>66.065033426145007</v>
      </c>
      <c r="AI11" s="25">
        <v>203</v>
      </c>
      <c r="AJ11" s="26">
        <v>337.23</v>
      </c>
      <c r="AK11" s="27">
        <v>32964.466999999997</v>
      </c>
    </row>
    <row r="12" spans="2:37" ht="18">
      <c r="C12" s="32"/>
      <c r="D12" s="33"/>
      <c r="O12" s="15"/>
      <c r="P12" s="55"/>
      <c r="R12" s="25" t="s">
        <v>16</v>
      </c>
      <c r="S12" s="23">
        <f>35999.373*S11-(2+(47/60))</f>
        <v>8714.5615235951082</v>
      </c>
      <c r="T12" s="23">
        <f t="shared" ref="T12:V12" si="5">35999.373*T11-(2+(47/60))</f>
        <v>8805.9667653064262</v>
      </c>
      <c r="U12" s="23">
        <f t="shared" si="5"/>
        <v>8898.2778744880925</v>
      </c>
      <c r="V12" s="23">
        <f t="shared" si="5"/>
        <v>8986.8444009466075</v>
      </c>
      <c r="X12" s="23">
        <v>2451810.2171499999</v>
      </c>
      <c r="Y12" s="23">
        <v>365242.01766999997</v>
      </c>
      <c r="Z12" s="23">
        <v>0.11575000000000001</v>
      </c>
      <c r="AA12" s="23">
        <v>3.3700000000000002E-3</v>
      </c>
      <c r="AB12" s="23">
        <v>7.7999999999999999E-4</v>
      </c>
      <c r="AD12" s="24" t="s">
        <v>31</v>
      </c>
      <c r="AE12" s="24">
        <f t="shared" si="0"/>
        <v>193.87468472387008</v>
      </c>
      <c r="AF12" s="24">
        <f t="shared" si="1"/>
        <v>193.91474841838522</v>
      </c>
      <c r="AG12" s="24">
        <f t="shared" si="2"/>
        <v>193.95505167401498</v>
      </c>
      <c r="AH12" s="24">
        <f t="shared" si="3"/>
        <v>193.99357124020642</v>
      </c>
      <c r="AI12" s="25">
        <v>199</v>
      </c>
      <c r="AJ12" s="26">
        <v>342.08</v>
      </c>
      <c r="AK12" s="27">
        <v>20.186</v>
      </c>
    </row>
    <row r="13" spans="2:37" ht="18">
      <c r="B13" s="137">
        <f>C3</f>
        <v>2024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5"/>
      <c r="P13" s="55"/>
      <c r="R13" s="25" t="s">
        <v>17</v>
      </c>
      <c r="S13" s="23">
        <f>1+0.0334*COS($S$6*S12)+0.0007*COS($S$6*2*S12)</f>
        <v>1.0082904064514895</v>
      </c>
      <c r="T13" s="23">
        <f>1+0.0334*COS($S$6*T12)+0.0007*COS($S$6*2*T12)</f>
        <v>0.96821449680037208</v>
      </c>
      <c r="U13" s="23">
        <f>1+0.0334*COS($S$6*U12)+0.0007*COS($S$6*2*U12)</f>
        <v>0.99257206163910316</v>
      </c>
      <c r="V13" s="23">
        <f>1+0.0334*COS($S$6*V12)+0.0007*COS($S$6*2*V12)</f>
        <v>1.0331509158891259</v>
      </c>
      <c r="X13" s="23">
        <v>2451900.0595200001</v>
      </c>
      <c r="Y13" s="23">
        <v>365242.74049</v>
      </c>
      <c r="Z13" s="23">
        <v>6.2230000000000001E-2</v>
      </c>
      <c r="AA13" s="23">
        <v>-8.2299999999999995E-3</v>
      </c>
      <c r="AB13" s="23">
        <v>3.2000000000000003E-4</v>
      </c>
      <c r="AD13" s="24" t="s">
        <v>32</v>
      </c>
      <c r="AE13" s="24">
        <f t="shared" si="0"/>
        <v>-156.85350614722651</v>
      </c>
      <c r="AF13" s="24">
        <f t="shared" si="1"/>
        <v>-28.328974402467068</v>
      </c>
      <c r="AG13" s="24">
        <f t="shared" si="2"/>
        <v>145.00296904967328</v>
      </c>
      <c r="AH13" s="24">
        <f t="shared" si="3"/>
        <v>169.07260552253479</v>
      </c>
      <c r="AI13" s="25">
        <v>182</v>
      </c>
      <c r="AJ13" s="26">
        <v>27.85</v>
      </c>
      <c r="AK13" s="27">
        <v>445267.11200000002</v>
      </c>
    </row>
    <row r="14" spans="2:37" ht="18">
      <c r="B14" s="35" t="s">
        <v>77</v>
      </c>
      <c r="C14" s="36" t="s">
        <v>78</v>
      </c>
      <c r="D14" s="37" t="s">
        <v>79</v>
      </c>
      <c r="E14" s="37" t="s">
        <v>80</v>
      </c>
      <c r="F14" s="37" t="s">
        <v>81</v>
      </c>
      <c r="G14" s="37" t="s">
        <v>82</v>
      </c>
      <c r="H14" s="37" t="s">
        <v>83</v>
      </c>
      <c r="I14" s="37" t="s">
        <v>84</v>
      </c>
      <c r="J14" s="37" t="s">
        <v>85</v>
      </c>
      <c r="K14" s="37" t="s">
        <v>86</v>
      </c>
      <c r="L14" s="37" t="s">
        <v>87</v>
      </c>
      <c r="M14" s="37" t="s">
        <v>88</v>
      </c>
      <c r="N14" s="38" t="s">
        <v>89</v>
      </c>
      <c r="O14" s="15"/>
      <c r="P14" s="55"/>
      <c r="R14" s="25" t="s">
        <v>18</v>
      </c>
      <c r="S14" s="23">
        <f>AE34</f>
        <v>355.59330263137451</v>
      </c>
      <c r="T14" s="23">
        <f>AF34</f>
        <v>270.33102993688772</v>
      </c>
      <c r="U14" s="23">
        <f>AG34</f>
        <v>561.44737783812718</v>
      </c>
      <c r="V14" s="23">
        <f>AH34</f>
        <v>488.46124327732201</v>
      </c>
      <c r="AD14" s="24" t="s">
        <v>33</v>
      </c>
      <c r="AE14" s="24">
        <f t="shared" si="0"/>
        <v>-155.97344983166118</v>
      </c>
      <c r="AF14" s="24">
        <f t="shared" si="1"/>
        <v>61.692847143525469</v>
      </c>
      <c r="AG14" s="24">
        <f t="shared" si="2"/>
        <v>102.7953303426147</v>
      </c>
      <c r="AH14" s="24">
        <f t="shared" si="3"/>
        <v>-146.1983451450067</v>
      </c>
      <c r="AI14" s="25">
        <v>156</v>
      </c>
      <c r="AJ14" s="26">
        <v>73.14</v>
      </c>
      <c r="AK14" s="27">
        <v>45036.885999999999</v>
      </c>
    </row>
    <row r="15" spans="2:37" ht="18">
      <c r="B15" s="39">
        <v>1</v>
      </c>
      <c r="C15" s="40">
        <v>1</v>
      </c>
      <c r="D15" s="41">
        <f>C45+1</f>
        <v>32</v>
      </c>
      <c r="E15" s="41">
        <f>D42+IF(C4="Y",2,1)</f>
        <v>61</v>
      </c>
      <c r="F15" s="41">
        <f>E45+1</f>
        <v>92</v>
      </c>
      <c r="G15" s="41">
        <f>F44+1</f>
        <v>122</v>
      </c>
      <c r="H15" s="41">
        <f>G45+1</f>
        <v>153</v>
      </c>
      <c r="I15" s="41">
        <f>H44+1</f>
        <v>183</v>
      </c>
      <c r="J15" s="41">
        <f>I45+1</f>
        <v>214</v>
      </c>
      <c r="K15" s="41">
        <f>J45+1</f>
        <v>245</v>
      </c>
      <c r="L15" s="41">
        <f>K44+1</f>
        <v>275</v>
      </c>
      <c r="M15" s="41">
        <f>L45+1</f>
        <v>306</v>
      </c>
      <c r="N15" s="42">
        <f>M44+1</f>
        <v>336</v>
      </c>
      <c r="O15" s="15"/>
      <c r="P15" s="55"/>
      <c r="R15" s="25" t="s">
        <v>19</v>
      </c>
      <c r="S15" s="26">
        <f>S10+((0.00001*S14)/S13)</f>
        <v>2460389.6303733713</v>
      </c>
      <c r="T15" s="26">
        <f>T10+((0.00001*T14)/T13)</f>
        <v>2460482.369488772</v>
      </c>
      <c r="U15" s="26">
        <f>U10+((0.00001*U14)/U13)</f>
        <v>2460576.0312972884</v>
      </c>
      <c r="V15" s="26">
        <f>V10+((0.00001*V14)/V13)</f>
        <v>2460665.8900553701</v>
      </c>
      <c r="AD15" s="24" t="s">
        <v>34</v>
      </c>
      <c r="AE15" s="24">
        <f t="shared" si="0"/>
        <v>-97.132652535242968</v>
      </c>
      <c r="AF15" s="24">
        <f t="shared" si="1"/>
        <v>27.340901631731196</v>
      </c>
      <c r="AG15" s="24">
        <f t="shared" si="2"/>
        <v>127.25416176930102</v>
      </c>
      <c r="AH15" s="24">
        <f t="shared" si="3"/>
        <v>111.75655401549768</v>
      </c>
      <c r="AI15" s="25">
        <v>136</v>
      </c>
      <c r="AJ15" s="26">
        <v>171.52</v>
      </c>
      <c r="AK15" s="27">
        <v>22518.442999999999</v>
      </c>
    </row>
    <row r="16" spans="2:37" ht="18">
      <c r="B16" s="39">
        <v>2</v>
      </c>
      <c r="C16" s="40">
        <f>C15+1</f>
        <v>2</v>
      </c>
      <c r="D16" s="41">
        <f>D15+1</f>
        <v>33</v>
      </c>
      <c r="E16" s="41">
        <f t="shared" ref="E16:N31" si="6">E15+1</f>
        <v>62</v>
      </c>
      <c r="F16" s="41">
        <f t="shared" si="6"/>
        <v>93</v>
      </c>
      <c r="G16" s="41">
        <f t="shared" si="6"/>
        <v>123</v>
      </c>
      <c r="H16" s="41">
        <f t="shared" si="6"/>
        <v>154</v>
      </c>
      <c r="I16" s="41">
        <f t="shared" si="6"/>
        <v>184</v>
      </c>
      <c r="J16" s="41">
        <f t="shared" si="6"/>
        <v>215</v>
      </c>
      <c r="K16" s="41">
        <f t="shared" si="6"/>
        <v>246</v>
      </c>
      <c r="L16" s="41">
        <f t="shared" si="6"/>
        <v>276</v>
      </c>
      <c r="M16" s="41">
        <f t="shared" si="6"/>
        <v>307</v>
      </c>
      <c r="N16" s="42">
        <f t="shared" si="6"/>
        <v>337</v>
      </c>
      <c r="O16" s="15"/>
      <c r="P16" s="55"/>
      <c r="R16" s="25" t="s">
        <v>58</v>
      </c>
      <c r="S16" s="26">
        <f>IF(S15-INT(S15)&gt;= 0.5,INT(S15+1),INT(S15))</f>
        <v>2460390</v>
      </c>
      <c r="T16" s="26">
        <f>IF(T15-INT(T15)&gt;= 0.5,INT(T15+1),INT(T15))</f>
        <v>2460482</v>
      </c>
      <c r="U16" s="26">
        <f>IF(U15-INT(U15)&gt;= 0.5,INT(U15+1),INT(U15))</f>
        <v>2460576</v>
      </c>
      <c r="V16" s="26">
        <f>IF(V15-INT(V15)&gt;= 0.5,INT(V15+1),INT(V15))</f>
        <v>2460666</v>
      </c>
      <c r="AD16" s="24" t="s">
        <v>35</v>
      </c>
      <c r="AE16" s="24">
        <f t="shared" si="0"/>
        <v>75.148063015845622</v>
      </c>
      <c r="AF16" s="24">
        <f t="shared" si="1"/>
        <v>-69.675796133979048</v>
      </c>
      <c r="AG16" s="24">
        <f t="shared" si="2"/>
        <v>62.187447902845847</v>
      </c>
      <c r="AH16" s="24">
        <f t="shared" si="3"/>
        <v>-45.329991510357118</v>
      </c>
      <c r="AI16" s="25">
        <v>77</v>
      </c>
      <c r="AJ16" s="26">
        <v>222.54</v>
      </c>
      <c r="AK16" s="27">
        <v>65928.933999999994</v>
      </c>
    </row>
    <row r="17" spans="2:37" ht="18">
      <c r="B17" s="39">
        <v>3</v>
      </c>
      <c r="C17" s="40">
        <f t="shared" ref="C17:N32" si="7">C16+1</f>
        <v>3</v>
      </c>
      <c r="D17" s="41">
        <f t="shared" si="7"/>
        <v>34</v>
      </c>
      <c r="E17" s="41">
        <f t="shared" si="6"/>
        <v>63</v>
      </c>
      <c r="F17" s="41">
        <f t="shared" si="6"/>
        <v>94</v>
      </c>
      <c r="G17" s="41">
        <f t="shared" si="6"/>
        <v>124</v>
      </c>
      <c r="H17" s="41">
        <f t="shared" si="6"/>
        <v>155</v>
      </c>
      <c r="I17" s="41">
        <f t="shared" si="6"/>
        <v>185</v>
      </c>
      <c r="J17" s="41">
        <f t="shared" si="6"/>
        <v>216</v>
      </c>
      <c r="K17" s="41">
        <f t="shared" si="6"/>
        <v>247</v>
      </c>
      <c r="L17" s="41">
        <f t="shared" si="6"/>
        <v>277</v>
      </c>
      <c r="M17" s="41">
        <f t="shared" si="6"/>
        <v>308</v>
      </c>
      <c r="N17" s="42">
        <f t="shared" si="6"/>
        <v>338</v>
      </c>
      <c r="O17" s="15"/>
      <c r="P17" s="55"/>
      <c r="R17" s="25" t="s">
        <v>14</v>
      </c>
      <c r="S17" s="28">
        <f>INT(S24/1461)-4716+INT((12+2-S18)/12)</f>
        <v>2024</v>
      </c>
      <c r="T17" s="28">
        <f>INT(T24/1461)-4716+INT((12+2-T18)/12)</f>
        <v>2024</v>
      </c>
      <c r="U17" s="28">
        <f>INT(U24/1461)-4716+INT((12+2-U18)/12)</f>
        <v>2024</v>
      </c>
      <c r="V17" s="28">
        <f>INT(V24/1461)-4716+INT((12+2-V18)/12)</f>
        <v>2024</v>
      </c>
      <c r="AD17" s="24" t="s">
        <v>36</v>
      </c>
      <c r="AE17" s="24">
        <f t="shared" si="0"/>
        <v>49.160124156258227</v>
      </c>
      <c r="AF17" s="24">
        <f t="shared" si="1"/>
        <v>56.132673733392572</v>
      </c>
      <c r="AG17" s="24">
        <f t="shared" si="2"/>
        <v>62.145011948473126</v>
      </c>
      <c r="AH17" s="24">
        <f t="shared" si="3"/>
        <v>66.838658606227966</v>
      </c>
      <c r="AI17" s="25">
        <v>74</v>
      </c>
      <c r="AJ17" s="26">
        <v>296.72000000000003</v>
      </c>
      <c r="AK17" s="27">
        <v>3034.9059999999999</v>
      </c>
    </row>
    <row r="18" spans="2:37" ht="18">
      <c r="B18" s="39">
        <v>4</v>
      </c>
      <c r="C18" s="40">
        <f t="shared" si="7"/>
        <v>4</v>
      </c>
      <c r="D18" s="41">
        <f t="shared" si="7"/>
        <v>35</v>
      </c>
      <c r="E18" s="41">
        <f t="shared" si="6"/>
        <v>64</v>
      </c>
      <c r="F18" s="41">
        <f t="shared" si="6"/>
        <v>95</v>
      </c>
      <c r="G18" s="41">
        <f t="shared" si="6"/>
        <v>125</v>
      </c>
      <c r="H18" s="41">
        <f t="shared" si="6"/>
        <v>156</v>
      </c>
      <c r="I18" s="41">
        <f t="shared" si="6"/>
        <v>186</v>
      </c>
      <c r="J18" s="41">
        <f t="shared" si="6"/>
        <v>217</v>
      </c>
      <c r="K18" s="41">
        <f t="shared" si="6"/>
        <v>248</v>
      </c>
      <c r="L18" s="41">
        <f t="shared" si="6"/>
        <v>278</v>
      </c>
      <c r="M18" s="41">
        <f t="shared" si="6"/>
        <v>309</v>
      </c>
      <c r="N18" s="42">
        <f t="shared" si="6"/>
        <v>339</v>
      </c>
      <c r="O18" s="15"/>
      <c r="P18" s="55"/>
      <c r="R18" s="25" t="s">
        <v>59</v>
      </c>
      <c r="S18" s="28">
        <f>MOD(INT((S26/S36)+S57),S58)+1</f>
        <v>3</v>
      </c>
      <c r="T18" s="28">
        <f>MOD(INT((T26/T36)+T57),T58)+1</f>
        <v>6</v>
      </c>
      <c r="U18" s="28">
        <f>MOD(INT((U26/U36)+U57),U58)+1</f>
        <v>9</v>
      </c>
      <c r="V18" s="28">
        <f>MOD(INT((V26/V36)+V57),V58)+1</f>
        <v>12</v>
      </c>
      <c r="AD18" s="24" t="s">
        <v>37</v>
      </c>
      <c r="AE18" s="24">
        <f t="shared" si="0"/>
        <v>2.4894170949756509</v>
      </c>
      <c r="AF18" s="24">
        <f t="shared" si="1"/>
        <v>29.566670846662714</v>
      </c>
      <c r="AG18" s="24">
        <f t="shared" si="2"/>
        <v>52.150224101560816</v>
      </c>
      <c r="AH18" s="24">
        <f t="shared" si="3"/>
        <v>65.941431795958152</v>
      </c>
      <c r="AI18" s="25">
        <v>70</v>
      </c>
      <c r="AJ18" s="26">
        <v>243.58</v>
      </c>
      <c r="AK18" s="27">
        <v>9037.5130000000008</v>
      </c>
    </row>
    <row r="19" spans="2:37" ht="18">
      <c r="B19" s="39">
        <v>5</v>
      </c>
      <c r="C19" s="40">
        <f t="shared" si="7"/>
        <v>5</v>
      </c>
      <c r="D19" s="41">
        <f t="shared" si="7"/>
        <v>36</v>
      </c>
      <c r="E19" s="41">
        <f t="shared" si="6"/>
        <v>65</v>
      </c>
      <c r="F19" s="41">
        <f t="shared" si="6"/>
        <v>96</v>
      </c>
      <c r="G19" s="41">
        <f t="shared" si="6"/>
        <v>126</v>
      </c>
      <c r="H19" s="41">
        <f t="shared" si="6"/>
        <v>157</v>
      </c>
      <c r="I19" s="41">
        <f t="shared" si="6"/>
        <v>187</v>
      </c>
      <c r="J19" s="41">
        <f t="shared" si="6"/>
        <v>218</v>
      </c>
      <c r="K19" s="41">
        <f t="shared" si="6"/>
        <v>249</v>
      </c>
      <c r="L19" s="41">
        <f t="shared" si="6"/>
        <v>279</v>
      </c>
      <c r="M19" s="41">
        <f t="shared" si="6"/>
        <v>310</v>
      </c>
      <c r="N19" s="42">
        <f t="shared" si="6"/>
        <v>340</v>
      </c>
      <c r="O19" s="15"/>
      <c r="P19" s="55"/>
      <c r="R19" s="25" t="s">
        <v>60</v>
      </c>
      <c r="S19" s="28">
        <f>INT(MOD(S26,S36)/S34)+1</f>
        <v>20</v>
      </c>
      <c r="T19" s="28">
        <f>INT(MOD(T26,T36)/T34)+1</f>
        <v>20</v>
      </c>
      <c r="U19" s="28">
        <f>INT(MOD(U26,U36)/U34)+1</f>
        <v>22</v>
      </c>
      <c r="V19" s="28">
        <f>INT(MOD(V26,V36)/V34)+1</f>
        <v>21</v>
      </c>
      <c r="AD19" s="24" t="s">
        <v>38</v>
      </c>
      <c r="AE19" s="24">
        <f t="shared" si="0"/>
        <v>57.800811362565454</v>
      </c>
      <c r="AF19" s="24">
        <f t="shared" si="1"/>
        <v>-0.36734131328147585</v>
      </c>
      <c r="AG19" s="24">
        <f t="shared" si="2"/>
        <v>-57.910936562995971</v>
      </c>
      <c r="AH19" s="24">
        <f t="shared" si="3"/>
        <v>-10.292258675359083</v>
      </c>
      <c r="AI19" s="25">
        <v>58</v>
      </c>
      <c r="AJ19" s="26">
        <v>119.81</v>
      </c>
      <c r="AK19" s="27">
        <v>33718.146999999997</v>
      </c>
    </row>
    <row r="20" spans="2:37" ht="18">
      <c r="B20" s="39">
        <v>6</v>
      </c>
      <c r="C20" s="40">
        <f t="shared" si="7"/>
        <v>6</v>
      </c>
      <c r="D20" s="41">
        <f t="shared" si="7"/>
        <v>37</v>
      </c>
      <c r="E20" s="41">
        <f t="shared" si="6"/>
        <v>66</v>
      </c>
      <c r="F20" s="41">
        <f t="shared" si="6"/>
        <v>97</v>
      </c>
      <c r="G20" s="41">
        <f t="shared" si="6"/>
        <v>127</v>
      </c>
      <c r="H20" s="41">
        <f t="shared" si="6"/>
        <v>158</v>
      </c>
      <c r="I20" s="41">
        <f t="shared" si="6"/>
        <v>188</v>
      </c>
      <c r="J20" s="41">
        <f t="shared" si="6"/>
        <v>219</v>
      </c>
      <c r="K20" s="41">
        <f t="shared" si="6"/>
        <v>250</v>
      </c>
      <c r="L20" s="41">
        <f t="shared" si="6"/>
        <v>280</v>
      </c>
      <c r="M20" s="41">
        <f t="shared" si="6"/>
        <v>311</v>
      </c>
      <c r="N20" s="42">
        <f t="shared" si="6"/>
        <v>341</v>
      </c>
      <c r="O20" s="15"/>
      <c r="P20" s="55"/>
      <c r="R20" s="25" t="s">
        <v>61</v>
      </c>
      <c r="S20" s="28">
        <f>INT(ROUND(S59*24,0))</f>
        <v>3</v>
      </c>
      <c r="T20" s="28">
        <f>INT(ROUND(T59*24,0))</f>
        <v>21</v>
      </c>
      <c r="U20" s="28">
        <f>INT(ROUND(U59*24,0))</f>
        <v>13</v>
      </c>
      <c r="V20" s="28">
        <f>INT(ROUND(V59*24,0))</f>
        <v>9</v>
      </c>
      <c r="AD20" s="24" t="s">
        <v>39</v>
      </c>
      <c r="AE20" s="24">
        <f t="shared" si="0"/>
        <v>46.600023328590972</v>
      </c>
      <c r="AF20" s="24">
        <f t="shared" si="1"/>
        <v>46.753060319173599</v>
      </c>
      <c r="AG20" s="24">
        <f t="shared" si="2"/>
        <v>46.90549829859669</v>
      </c>
      <c r="AH20" s="24">
        <f t="shared" si="3"/>
        <v>47.049747762231632</v>
      </c>
      <c r="AI20" s="25">
        <v>52</v>
      </c>
      <c r="AJ20" s="26">
        <v>297.17</v>
      </c>
      <c r="AK20" s="27">
        <v>150.678</v>
      </c>
    </row>
    <row r="21" spans="2:37" ht="18">
      <c r="B21" s="39">
        <v>7</v>
      </c>
      <c r="C21" s="40">
        <f t="shared" si="7"/>
        <v>7</v>
      </c>
      <c r="D21" s="41">
        <f t="shared" si="7"/>
        <v>38</v>
      </c>
      <c r="E21" s="41">
        <f t="shared" si="6"/>
        <v>67</v>
      </c>
      <c r="F21" s="41">
        <f t="shared" si="6"/>
        <v>98</v>
      </c>
      <c r="G21" s="41">
        <f t="shared" si="6"/>
        <v>128</v>
      </c>
      <c r="H21" s="41">
        <f t="shared" si="6"/>
        <v>159</v>
      </c>
      <c r="I21" s="41">
        <f t="shared" si="6"/>
        <v>189</v>
      </c>
      <c r="J21" s="41">
        <f t="shared" si="6"/>
        <v>220</v>
      </c>
      <c r="K21" s="41">
        <f t="shared" si="6"/>
        <v>251</v>
      </c>
      <c r="L21" s="41">
        <f t="shared" si="6"/>
        <v>281</v>
      </c>
      <c r="M21" s="41">
        <f t="shared" si="6"/>
        <v>312</v>
      </c>
      <c r="N21" s="42">
        <f t="shared" si="6"/>
        <v>342</v>
      </c>
      <c r="O21" s="15"/>
      <c r="P21" s="55"/>
      <c r="R21" s="25" t="s">
        <v>62</v>
      </c>
      <c r="S21" s="28">
        <f>INT((3600*24*S59-3600*S20)/60)</f>
        <v>7</v>
      </c>
      <c r="T21" s="28">
        <f>INT((3600*24*T59-3600*T20)/60)</f>
        <v>-8</v>
      </c>
      <c r="U21" s="28">
        <f>INT((3600*24*U59-3600*U20)/60)</f>
        <v>-15</v>
      </c>
      <c r="V21" s="28">
        <f>INT((3600*24*V59-3600*V20)/60)</f>
        <v>21</v>
      </c>
      <c r="AD21" s="24" t="s">
        <v>40</v>
      </c>
      <c r="AE21" s="24">
        <f t="shared" si="0"/>
        <v>-41.730378274314653</v>
      </c>
      <c r="AF21" s="24">
        <f t="shared" si="1"/>
        <v>-38.73772772646015</v>
      </c>
      <c r="AG21" s="24">
        <f t="shared" si="2"/>
        <v>-35.314075872451703</v>
      </c>
      <c r="AH21" s="24">
        <f t="shared" si="3"/>
        <v>-31.683116086950747</v>
      </c>
      <c r="AI21" s="25">
        <v>50</v>
      </c>
      <c r="AJ21" s="26">
        <v>21.02</v>
      </c>
      <c r="AK21" s="27">
        <v>2281.2260000000001</v>
      </c>
    </row>
    <row r="22" spans="2:37" ht="18">
      <c r="B22" s="39">
        <v>8</v>
      </c>
      <c r="C22" s="40">
        <f t="shared" si="7"/>
        <v>8</v>
      </c>
      <c r="D22" s="41">
        <f t="shared" si="7"/>
        <v>39</v>
      </c>
      <c r="E22" s="41">
        <f t="shared" si="6"/>
        <v>68</v>
      </c>
      <c r="F22" s="41">
        <f t="shared" si="6"/>
        <v>99</v>
      </c>
      <c r="G22" s="41">
        <f t="shared" si="6"/>
        <v>129</v>
      </c>
      <c r="H22" s="41">
        <f t="shared" si="6"/>
        <v>160</v>
      </c>
      <c r="I22" s="41">
        <f t="shared" si="6"/>
        <v>190</v>
      </c>
      <c r="J22" s="41">
        <f t="shared" si="6"/>
        <v>221</v>
      </c>
      <c r="K22" s="41">
        <f t="shared" si="6"/>
        <v>252</v>
      </c>
      <c r="L22" s="41">
        <f t="shared" si="6"/>
        <v>282</v>
      </c>
      <c r="M22" s="41">
        <f t="shared" si="6"/>
        <v>313</v>
      </c>
      <c r="N22" s="42">
        <f t="shared" si="6"/>
        <v>343</v>
      </c>
      <c r="O22" s="15"/>
      <c r="P22" s="55"/>
      <c r="R22" s="25" t="s">
        <v>63</v>
      </c>
      <c r="S22" s="28">
        <f>INT(MOD(S59*3600*24,60))</f>
        <v>44</v>
      </c>
      <c r="T22" s="28">
        <f>INT(MOD(T59*3600*24,60))</f>
        <v>3</v>
      </c>
      <c r="U22" s="28">
        <f>INT(MOD(U59*3600*24,60))</f>
        <v>4</v>
      </c>
      <c r="V22" s="28">
        <f>INT(MOD(V59*3600*24,60))</f>
        <v>40</v>
      </c>
      <c r="AD22" s="24" t="s">
        <v>41</v>
      </c>
      <c r="AE22" s="24">
        <f t="shared" si="0"/>
        <v>19.063238796783185</v>
      </c>
      <c r="AF22" s="24">
        <f t="shared" si="1"/>
        <v>44.164608835908489</v>
      </c>
      <c r="AG22" s="24">
        <f t="shared" si="2"/>
        <v>1.7243284606720284</v>
      </c>
      <c r="AH22" s="24">
        <f t="shared" si="3"/>
        <v>-42.658940965768004</v>
      </c>
      <c r="AI22" s="25">
        <v>45</v>
      </c>
      <c r="AJ22" s="26">
        <v>247.54</v>
      </c>
      <c r="AK22" s="27">
        <v>29929.562000000002</v>
      </c>
    </row>
    <row r="23" spans="2:37" ht="18">
      <c r="B23" s="39">
        <v>9</v>
      </c>
      <c r="C23" s="40">
        <f t="shared" si="7"/>
        <v>9</v>
      </c>
      <c r="D23" s="41">
        <f t="shared" si="7"/>
        <v>40</v>
      </c>
      <c r="E23" s="41">
        <f t="shared" si="6"/>
        <v>69</v>
      </c>
      <c r="F23" s="41">
        <f t="shared" si="6"/>
        <v>100</v>
      </c>
      <c r="G23" s="41">
        <f t="shared" si="6"/>
        <v>130</v>
      </c>
      <c r="H23" s="41">
        <f t="shared" si="6"/>
        <v>161</v>
      </c>
      <c r="I23" s="41">
        <f t="shared" si="6"/>
        <v>191</v>
      </c>
      <c r="J23" s="41">
        <f t="shared" si="6"/>
        <v>222</v>
      </c>
      <c r="K23" s="41">
        <f t="shared" si="6"/>
        <v>253</v>
      </c>
      <c r="L23" s="41">
        <f t="shared" si="6"/>
        <v>283</v>
      </c>
      <c r="M23" s="41">
        <f t="shared" si="6"/>
        <v>314</v>
      </c>
      <c r="N23" s="42">
        <f t="shared" si="6"/>
        <v>344</v>
      </c>
      <c r="O23" s="15"/>
      <c r="P23" s="55"/>
      <c r="R23" s="25" t="s">
        <v>64</v>
      </c>
      <c r="S23" s="25">
        <f>INT(S16+S28+(INT(INT((4*S16+S29)/146097)*3)/4)+S30)</f>
        <v>2461804</v>
      </c>
      <c r="T23" s="25">
        <f>INT(T16+T28+(INT(INT((4*T16+T29)/146097)*3)/4)+T30)</f>
        <v>2461896</v>
      </c>
      <c r="U23" s="25">
        <f>INT(U16+U28+(INT(INT((4*U16+U29)/146097)*3)/4)+U30)</f>
        <v>2461990</v>
      </c>
      <c r="V23" s="25">
        <f>INT(V16+V28+(INT(INT((4*V16+V29)/146097)*3)/4)+V30)</f>
        <v>2462080</v>
      </c>
      <c r="AD23" s="24" t="s">
        <v>42</v>
      </c>
      <c r="AE23" s="24">
        <f t="shared" si="0"/>
        <v>30.282310905492082</v>
      </c>
      <c r="AF23" s="24">
        <f t="shared" si="1"/>
        <v>-26.253959640214049</v>
      </c>
      <c r="AG23" s="24">
        <f t="shared" si="2"/>
        <v>-39.010850995595362</v>
      </c>
      <c r="AH23" s="24">
        <f t="shared" si="3"/>
        <v>11.524754788075162</v>
      </c>
      <c r="AI23" s="25">
        <v>44</v>
      </c>
      <c r="AJ23" s="26">
        <v>325.14999999999998</v>
      </c>
      <c r="AK23" s="27">
        <v>31555.955999999998</v>
      </c>
    </row>
    <row r="24" spans="2:37" ht="18">
      <c r="B24" s="39">
        <v>10</v>
      </c>
      <c r="C24" s="40">
        <f t="shared" si="7"/>
        <v>10</v>
      </c>
      <c r="D24" s="41">
        <f t="shared" si="7"/>
        <v>41</v>
      </c>
      <c r="E24" s="41">
        <f t="shared" si="6"/>
        <v>70</v>
      </c>
      <c r="F24" s="41">
        <f t="shared" si="6"/>
        <v>101</v>
      </c>
      <c r="G24" s="41">
        <f t="shared" si="6"/>
        <v>131</v>
      </c>
      <c r="H24" s="41">
        <f t="shared" si="6"/>
        <v>162</v>
      </c>
      <c r="I24" s="41">
        <f t="shared" si="6"/>
        <v>192</v>
      </c>
      <c r="J24" s="41">
        <f t="shared" si="6"/>
        <v>223</v>
      </c>
      <c r="K24" s="41">
        <f t="shared" si="6"/>
        <v>254</v>
      </c>
      <c r="L24" s="41">
        <f t="shared" si="6"/>
        <v>284</v>
      </c>
      <c r="M24" s="41">
        <f t="shared" si="6"/>
        <v>315</v>
      </c>
      <c r="N24" s="42">
        <f t="shared" si="6"/>
        <v>345</v>
      </c>
      <c r="O24" s="15"/>
      <c r="P24" s="55"/>
      <c r="R24" s="25" t="s">
        <v>7</v>
      </c>
      <c r="S24" s="25">
        <f>S31*S23+S32</f>
        <v>9847219</v>
      </c>
      <c r="T24" s="25">
        <f>T31*T23+T32</f>
        <v>9847587</v>
      </c>
      <c r="U24" s="25">
        <f>U31*U23+U32</f>
        <v>9847963</v>
      </c>
      <c r="V24" s="25">
        <f>V31*V23+V32</f>
        <v>9848323</v>
      </c>
      <c r="AD24" s="24" t="s">
        <v>43</v>
      </c>
      <c r="AE24" s="24">
        <f t="shared" si="0"/>
        <v>15.830443368303278</v>
      </c>
      <c r="AF24" s="24">
        <f t="shared" si="1"/>
        <v>10.770820504430203</v>
      </c>
      <c r="AG24" s="24">
        <f t="shared" si="2"/>
        <v>5.2392652827305604</v>
      </c>
      <c r="AH24" s="24">
        <f t="shared" si="3"/>
        <v>-0.26488492887921994</v>
      </c>
      <c r="AI24" s="25">
        <v>29</v>
      </c>
      <c r="AJ24" s="26">
        <v>60.93</v>
      </c>
      <c r="AK24" s="27">
        <v>4443.4170000000004</v>
      </c>
    </row>
    <row r="25" spans="2:37" ht="18">
      <c r="B25" s="39">
        <v>11</v>
      </c>
      <c r="C25" s="40">
        <f t="shared" si="7"/>
        <v>11</v>
      </c>
      <c r="D25" s="41">
        <f t="shared" si="7"/>
        <v>42</v>
      </c>
      <c r="E25" s="41">
        <f t="shared" si="6"/>
        <v>71</v>
      </c>
      <c r="F25" s="41">
        <f t="shared" si="6"/>
        <v>102</v>
      </c>
      <c r="G25" s="41">
        <f t="shared" si="6"/>
        <v>132</v>
      </c>
      <c r="H25" s="41">
        <f t="shared" si="6"/>
        <v>163</v>
      </c>
      <c r="I25" s="41">
        <f t="shared" si="6"/>
        <v>193</v>
      </c>
      <c r="J25" s="41">
        <f t="shared" si="6"/>
        <v>224</v>
      </c>
      <c r="K25" s="41">
        <f t="shared" si="6"/>
        <v>255</v>
      </c>
      <c r="L25" s="41">
        <f t="shared" si="6"/>
        <v>285</v>
      </c>
      <c r="M25" s="41">
        <f t="shared" si="6"/>
        <v>316</v>
      </c>
      <c r="N25" s="42">
        <f t="shared" si="6"/>
        <v>346</v>
      </c>
      <c r="O25" s="15"/>
      <c r="P25" s="55"/>
      <c r="R25" s="25" t="s">
        <v>65</v>
      </c>
      <c r="S25" s="25">
        <f>INT(MOD(S24,S33)/S31)</f>
        <v>19</v>
      </c>
      <c r="T25" s="25">
        <f>INT(MOD(T24,T33)/T31)</f>
        <v>111</v>
      </c>
      <c r="U25" s="25">
        <f>INT(MOD(U24,U33)/U31)</f>
        <v>205</v>
      </c>
      <c r="V25" s="25">
        <f>INT(MOD(V24,V33)/V31)</f>
        <v>295</v>
      </c>
      <c r="AD25" s="24" t="s">
        <v>44</v>
      </c>
      <c r="AE25" s="24">
        <f t="shared" si="0"/>
        <v>12.464043204712848</v>
      </c>
      <c r="AF25" s="24">
        <f t="shared" si="1"/>
        <v>-10.414869803301361</v>
      </c>
      <c r="AG25" s="24">
        <f t="shared" si="2"/>
        <v>8.6111089061952093</v>
      </c>
      <c r="AH25" s="24">
        <f t="shared" si="3"/>
        <v>-4.5925178944833061</v>
      </c>
      <c r="AI25" s="25">
        <v>18</v>
      </c>
      <c r="AJ25" s="26">
        <v>155.12</v>
      </c>
      <c r="AK25" s="27">
        <v>67555.327999999994</v>
      </c>
    </row>
    <row r="26" spans="2:37" ht="18">
      <c r="B26" s="39">
        <v>12</v>
      </c>
      <c r="C26" s="40">
        <f t="shared" si="7"/>
        <v>12</v>
      </c>
      <c r="D26" s="41">
        <f t="shared" si="7"/>
        <v>43</v>
      </c>
      <c r="E26" s="41">
        <f t="shared" si="6"/>
        <v>72</v>
      </c>
      <c r="F26" s="41">
        <f t="shared" si="6"/>
        <v>103</v>
      </c>
      <c r="G26" s="41">
        <f t="shared" si="6"/>
        <v>133</v>
      </c>
      <c r="H26" s="41">
        <f t="shared" si="6"/>
        <v>164</v>
      </c>
      <c r="I26" s="41">
        <f t="shared" si="6"/>
        <v>194</v>
      </c>
      <c r="J26" s="41">
        <f t="shared" si="6"/>
        <v>225</v>
      </c>
      <c r="K26" s="41">
        <f t="shared" si="6"/>
        <v>256</v>
      </c>
      <c r="L26" s="41">
        <f t="shared" si="6"/>
        <v>286</v>
      </c>
      <c r="M26" s="41">
        <f t="shared" si="6"/>
        <v>317</v>
      </c>
      <c r="N26" s="42">
        <f t="shared" si="6"/>
        <v>347</v>
      </c>
      <c r="O26" s="15"/>
      <c r="P26" s="55"/>
      <c r="R26" s="25" t="s">
        <v>66</v>
      </c>
      <c r="S26" s="25">
        <f>S34*S25+S35</f>
        <v>97</v>
      </c>
      <c r="T26" s="25">
        <f>T34*T25+T35</f>
        <v>557</v>
      </c>
      <c r="U26" s="25">
        <f>U34*U25+U35</f>
        <v>1027</v>
      </c>
      <c r="V26" s="25">
        <f>V34*V25+V35</f>
        <v>1477</v>
      </c>
      <c r="AD26" s="24" t="s">
        <v>45</v>
      </c>
      <c r="AE26" s="24">
        <f t="shared" si="0"/>
        <v>11.723533395763162</v>
      </c>
      <c r="AF26" s="24">
        <f t="shared" si="1"/>
        <v>13.956899528010391</v>
      </c>
      <c r="AG26" s="24">
        <f t="shared" si="2"/>
        <v>15.635062907990619</v>
      </c>
      <c r="AH26" s="24">
        <f t="shared" si="3"/>
        <v>16.635161381697529</v>
      </c>
      <c r="AI26" s="25">
        <v>17</v>
      </c>
      <c r="AJ26" s="26">
        <v>288.79000000000002</v>
      </c>
      <c r="AK26" s="27">
        <v>4562.4520000000002</v>
      </c>
    </row>
    <row r="27" spans="2:37" ht="18">
      <c r="B27" s="39">
        <v>13</v>
      </c>
      <c r="C27" s="40">
        <f t="shared" si="7"/>
        <v>13</v>
      </c>
      <c r="D27" s="41">
        <f t="shared" si="7"/>
        <v>44</v>
      </c>
      <c r="E27" s="41">
        <f t="shared" si="6"/>
        <v>73</v>
      </c>
      <c r="F27" s="41">
        <f t="shared" si="6"/>
        <v>104</v>
      </c>
      <c r="G27" s="41">
        <f t="shared" si="6"/>
        <v>134</v>
      </c>
      <c r="H27" s="41">
        <f t="shared" si="6"/>
        <v>165</v>
      </c>
      <c r="I27" s="41">
        <f t="shared" si="6"/>
        <v>195</v>
      </c>
      <c r="J27" s="41">
        <f t="shared" si="6"/>
        <v>226</v>
      </c>
      <c r="K27" s="41">
        <f t="shared" si="6"/>
        <v>257</v>
      </c>
      <c r="L27" s="41">
        <f t="shared" si="6"/>
        <v>287</v>
      </c>
      <c r="M27" s="41">
        <f t="shared" si="6"/>
        <v>318</v>
      </c>
      <c r="N27" s="42">
        <f t="shared" si="6"/>
        <v>348</v>
      </c>
      <c r="O27" s="15"/>
      <c r="P27" s="55"/>
      <c r="R27" s="25"/>
      <c r="S27" s="25"/>
      <c r="T27" s="25"/>
      <c r="U27" s="25"/>
      <c r="V27" s="25"/>
      <c r="AD27" s="24" t="s">
        <v>46</v>
      </c>
      <c r="AE27" s="24">
        <f t="shared" si="0"/>
        <v>9.8501521610335168</v>
      </c>
      <c r="AF27" s="24">
        <f t="shared" si="1"/>
        <v>-4.8621159088371577</v>
      </c>
      <c r="AG27" s="24">
        <f t="shared" si="2"/>
        <v>-0.28860621583376245</v>
      </c>
      <c r="AH27" s="24">
        <f t="shared" si="3"/>
        <v>7.0891747432367316</v>
      </c>
      <c r="AI27" s="25">
        <v>16</v>
      </c>
      <c r="AJ27" s="26">
        <v>198.04</v>
      </c>
      <c r="AK27" s="27">
        <v>62894.029000000002</v>
      </c>
    </row>
    <row r="28" spans="2:37" ht="18">
      <c r="B28" s="39">
        <v>14</v>
      </c>
      <c r="C28" s="40">
        <f t="shared" si="7"/>
        <v>14</v>
      </c>
      <c r="D28" s="41">
        <f t="shared" si="7"/>
        <v>45</v>
      </c>
      <c r="E28" s="41">
        <f t="shared" si="6"/>
        <v>74</v>
      </c>
      <c r="F28" s="41">
        <f t="shared" si="6"/>
        <v>105</v>
      </c>
      <c r="G28" s="41">
        <f t="shared" si="6"/>
        <v>135</v>
      </c>
      <c r="H28" s="41">
        <f t="shared" si="6"/>
        <v>166</v>
      </c>
      <c r="I28" s="41">
        <f t="shared" si="6"/>
        <v>196</v>
      </c>
      <c r="J28" s="41">
        <f t="shared" si="6"/>
        <v>227</v>
      </c>
      <c r="K28" s="41">
        <f t="shared" si="6"/>
        <v>258</v>
      </c>
      <c r="L28" s="41">
        <f t="shared" si="6"/>
        <v>288</v>
      </c>
      <c r="M28" s="41">
        <f t="shared" si="6"/>
        <v>319</v>
      </c>
      <c r="N28" s="42">
        <f t="shared" si="6"/>
        <v>349</v>
      </c>
      <c r="O28" s="15"/>
      <c r="P28" s="55"/>
      <c r="R28" s="25" t="s">
        <v>67</v>
      </c>
      <c r="S28" s="25">
        <v>1401</v>
      </c>
      <c r="T28" s="25">
        <v>1401</v>
      </c>
      <c r="U28" s="25">
        <v>1401</v>
      </c>
      <c r="V28" s="25">
        <v>1401</v>
      </c>
      <c r="AD28" s="24" t="s">
        <v>47</v>
      </c>
      <c r="AE28" s="24">
        <f t="shared" si="0"/>
        <v>-4.2576612837255308</v>
      </c>
      <c r="AF28" s="24">
        <f t="shared" si="1"/>
        <v>12.374509847261308</v>
      </c>
      <c r="AG28" s="24">
        <f t="shared" si="2"/>
        <v>8.4784824783959483</v>
      </c>
      <c r="AH28" s="24">
        <f t="shared" si="3"/>
        <v>-9.0120135760820901</v>
      </c>
      <c r="AI28" s="25">
        <v>14</v>
      </c>
      <c r="AJ28" s="26">
        <v>199.76</v>
      </c>
      <c r="AK28" s="27">
        <v>31436.920999999998</v>
      </c>
    </row>
    <row r="29" spans="2:37" ht="18">
      <c r="B29" s="39">
        <v>15</v>
      </c>
      <c r="C29" s="40">
        <f t="shared" si="7"/>
        <v>15</v>
      </c>
      <c r="D29" s="41">
        <f t="shared" si="7"/>
        <v>46</v>
      </c>
      <c r="E29" s="41">
        <f t="shared" si="6"/>
        <v>75</v>
      </c>
      <c r="F29" s="41">
        <f t="shared" si="6"/>
        <v>106</v>
      </c>
      <c r="G29" s="41">
        <f t="shared" si="6"/>
        <v>136</v>
      </c>
      <c r="H29" s="41">
        <f t="shared" si="6"/>
        <v>167</v>
      </c>
      <c r="I29" s="41">
        <f t="shared" si="6"/>
        <v>197</v>
      </c>
      <c r="J29" s="41">
        <f t="shared" si="6"/>
        <v>228</v>
      </c>
      <c r="K29" s="41">
        <f t="shared" si="6"/>
        <v>259</v>
      </c>
      <c r="L29" s="41">
        <f t="shared" si="6"/>
        <v>289</v>
      </c>
      <c r="M29" s="41">
        <f t="shared" si="6"/>
        <v>320</v>
      </c>
      <c r="N29" s="42">
        <f t="shared" si="6"/>
        <v>350</v>
      </c>
      <c r="O29" s="15"/>
      <c r="P29" s="55"/>
      <c r="R29" s="25" t="s">
        <v>28</v>
      </c>
      <c r="S29" s="25">
        <v>274277</v>
      </c>
      <c r="T29" s="25">
        <v>274277</v>
      </c>
      <c r="U29" s="25">
        <v>274277</v>
      </c>
      <c r="V29" s="25">
        <v>274277</v>
      </c>
      <c r="AD29" s="24" t="s">
        <v>48</v>
      </c>
      <c r="AE29" s="24">
        <f t="shared" si="0"/>
        <v>10.835073445246671</v>
      </c>
      <c r="AF29" s="24">
        <f t="shared" si="1"/>
        <v>5.5466767447479581</v>
      </c>
      <c r="AG29" s="24">
        <f t="shared" si="2"/>
        <v>-2.0529316739965497</v>
      </c>
      <c r="AH29" s="24">
        <f t="shared" si="3"/>
        <v>-8.5905438994974634</v>
      </c>
      <c r="AI29" s="25">
        <v>12</v>
      </c>
      <c r="AJ29" s="26">
        <v>95.39</v>
      </c>
      <c r="AK29" s="27">
        <v>14577.848</v>
      </c>
    </row>
    <row r="30" spans="2:37" ht="18">
      <c r="B30" s="39">
        <v>16</v>
      </c>
      <c r="C30" s="40">
        <f t="shared" si="7"/>
        <v>16</v>
      </c>
      <c r="D30" s="41">
        <f t="shared" si="7"/>
        <v>47</v>
      </c>
      <c r="E30" s="41">
        <f t="shared" si="6"/>
        <v>76</v>
      </c>
      <c r="F30" s="41">
        <f t="shared" si="6"/>
        <v>107</v>
      </c>
      <c r="G30" s="41">
        <f t="shared" si="6"/>
        <v>137</v>
      </c>
      <c r="H30" s="41">
        <f t="shared" si="6"/>
        <v>168</v>
      </c>
      <c r="I30" s="41">
        <f t="shared" si="6"/>
        <v>198</v>
      </c>
      <c r="J30" s="41">
        <f t="shared" si="6"/>
        <v>229</v>
      </c>
      <c r="K30" s="41">
        <f t="shared" si="6"/>
        <v>260</v>
      </c>
      <c r="L30" s="41">
        <f t="shared" si="6"/>
        <v>290</v>
      </c>
      <c r="M30" s="41">
        <f t="shared" si="6"/>
        <v>321</v>
      </c>
      <c r="N30" s="42">
        <f t="shared" si="6"/>
        <v>351</v>
      </c>
      <c r="O30" s="15"/>
      <c r="P30" s="55"/>
      <c r="R30" s="25" t="s">
        <v>8</v>
      </c>
      <c r="S30" s="25">
        <v>-38</v>
      </c>
      <c r="T30" s="25">
        <v>-38</v>
      </c>
      <c r="U30" s="25">
        <v>-38</v>
      </c>
      <c r="V30" s="25">
        <v>-38</v>
      </c>
      <c r="AD30" s="24" t="s">
        <v>49</v>
      </c>
      <c r="AE30" s="24">
        <f t="shared" si="0"/>
        <v>-1.9744722800491679</v>
      </c>
      <c r="AF30" s="24">
        <f t="shared" si="1"/>
        <v>-11.999451702378991</v>
      </c>
      <c r="AG30" s="24">
        <f t="shared" si="2"/>
        <v>-1.5811656978281059</v>
      </c>
      <c r="AH30" s="24">
        <f t="shared" si="3"/>
        <v>11.345387289415211</v>
      </c>
      <c r="AI30" s="25">
        <v>12</v>
      </c>
      <c r="AJ30" s="26">
        <v>287.11</v>
      </c>
      <c r="AK30" s="27">
        <v>31931.756000000001</v>
      </c>
    </row>
    <row r="31" spans="2:37" ht="18">
      <c r="B31" s="39">
        <v>17</v>
      </c>
      <c r="C31" s="40">
        <f t="shared" si="7"/>
        <v>17</v>
      </c>
      <c r="D31" s="41">
        <f t="shared" si="7"/>
        <v>48</v>
      </c>
      <c r="E31" s="41">
        <f t="shared" si="6"/>
        <v>77</v>
      </c>
      <c r="F31" s="41">
        <f t="shared" si="6"/>
        <v>108</v>
      </c>
      <c r="G31" s="41">
        <f t="shared" si="6"/>
        <v>138</v>
      </c>
      <c r="H31" s="41">
        <f t="shared" si="6"/>
        <v>169</v>
      </c>
      <c r="I31" s="41">
        <f t="shared" si="6"/>
        <v>199</v>
      </c>
      <c r="J31" s="41">
        <f t="shared" si="6"/>
        <v>230</v>
      </c>
      <c r="K31" s="41">
        <f t="shared" si="6"/>
        <v>261</v>
      </c>
      <c r="L31" s="41">
        <f t="shared" si="6"/>
        <v>291</v>
      </c>
      <c r="M31" s="41">
        <f t="shared" si="6"/>
        <v>322</v>
      </c>
      <c r="N31" s="42">
        <f t="shared" si="6"/>
        <v>352</v>
      </c>
      <c r="O31" s="15"/>
      <c r="P31" s="55"/>
      <c r="R31" s="25" t="s">
        <v>68</v>
      </c>
      <c r="S31" s="28">
        <v>4</v>
      </c>
      <c r="T31" s="28">
        <v>4</v>
      </c>
      <c r="U31" s="28">
        <v>4</v>
      </c>
      <c r="V31" s="28">
        <v>4</v>
      </c>
      <c r="AD31" s="24" t="s">
        <v>50</v>
      </c>
      <c r="AE31" s="24">
        <f t="shared" si="0"/>
        <v>-2.5393098648720791</v>
      </c>
      <c r="AF31" s="24">
        <f t="shared" si="1"/>
        <v>-11.798338124762431</v>
      </c>
      <c r="AG31" s="24">
        <f t="shared" si="2"/>
        <v>2.0210840492435667</v>
      </c>
      <c r="AH31" s="24">
        <f t="shared" si="3"/>
        <v>11.949543454149024</v>
      </c>
      <c r="AI31" s="25">
        <v>12</v>
      </c>
      <c r="AJ31" s="26">
        <v>320.81</v>
      </c>
      <c r="AK31" s="27">
        <v>34777.258999999998</v>
      </c>
    </row>
    <row r="32" spans="2:37" ht="18">
      <c r="B32" s="39">
        <v>18</v>
      </c>
      <c r="C32" s="40">
        <f t="shared" si="7"/>
        <v>18</v>
      </c>
      <c r="D32" s="41">
        <f t="shared" si="7"/>
        <v>49</v>
      </c>
      <c r="E32" s="41">
        <f t="shared" si="7"/>
        <v>78</v>
      </c>
      <c r="F32" s="41">
        <f t="shared" si="7"/>
        <v>109</v>
      </c>
      <c r="G32" s="41">
        <f t="shared" si="7"/>
        <v>139</v>
      </c>
      <c r="H32" s="41">
        <f t="shared" si="7"/>
        <v>170</v>
      </c>
      <c r="I32" s="41">
        <f t="shared" si="7"/>
        <v>200</v>
      </c>
      <c r="J32" s="41">
        <f t="shared" si="7"/>
        <v>231</v>
      </c>
      <c r="K32" s="41">
        <f t="shared" si="7"/>
        <v>262</v>
      </c>
      <c r="L32" s="41">
        <f t="shared" si="7"/>
        <v>292</v>
      </c>
      <c r="M32" s="41">
        <f t="shared" si="7"/>
        <v>323</v>
      </c>
      <c r="N32" s="42">
        <f t="shared" si="7"/>
        <v>353</v>
      </c>
      <c r="O32" s="15"/>
      <c r="P32" s="55"/>
      <c r="R32" s="25" t="s">
        <v>9</v>
      </c>
      <c r="S32" s="25">
        <v>3</v>
      </c>
      <c r="T32" s="25">
        <v>3</v>
      </c>
      <c r="U32" s="25">
        <v>3</v>
      </c>
      <c r="V32" s="25">
        <v>3</v>
      </c>
      <c r="AD32" s="24" t="s">
        <v>51</v>
      </c>
      <c r="AE32" s="24">
        <f t="shared" si="0"/>
        <v>-8.6368437726507281</v>
      </c>
      <c r="AF32" s="24">
        <f t="shared" si="1"/>
        <v>-8.7611770991932403</v>
      </c>
      <c r="AG32" s="24">
        <f t="shared" si="2"/>
        <v>-8.8606670687638349</v>
      </c>
      <c r="AH32" s="24">
        <f t="shared" si="3"/>
        <v>-8.9312144445829826</v>
      </c>
      <c r="AI32" s="25">
        <v>9</v>
      </c>
      <c r="AJ32" s="26">
        <v>227.73</v>
      </c>
      <c r="AK32" s="27">
        <v>1222.114</v>
      </c>
    </row>
    <row r="33" spans="2:37" ht="18">
      <c r="B33" s="39">
        <v>19</v>
      </c>
      <c r="C33" s="40">
        <f t="shared" ref="C33:N45" si="8">C32+1</f>
        <v>19</v>
      </c>
      <c r="D33" s="41">
        <f t="shared" si="8"/>
        <v>50</v>
      </c>
      <c r="E33" s="41">
        <f t="shared" si="8"/>
        <v>79</v>
      </c>
      <c r="F33" s="41">
        <f t="shared" si="8"/>
        <v>110</v>
      </c>
      <c r="G33" s="41">
        <f t="shared" si="8"/>
        <v>140</v>
      </c>
      <c r="H33" s="41">
        <f t="shared" si="8"/>
        <v>171</v>
      </c>
      <c r="I33" s="41">
        <f t="shared" si="8"/>
        <v>201</v>
      </c>
      <c r="J33" s="41">
        <f t="shared" si="8"/>
        <v>232</v>
      </c>
      <c r="K33" s="41">
        <f t="shared" si="8"/>
        <v>263</v>
      </c>
      <c r="L33" s="41">
        <f t="shared" si="8"/>
        <v>293</v>
      </c>
      <c r="M33" s="41">
        <f t="shared" si="8"/>
        <v>324</v>
      </c>
      <c r="N33" s="42">
        <f t="shared" si="8"/>
        <v>354</v>
      </c>
      <c r="O33" s="15"/>
      <c r="P33" s="55"/>
      <c r="R33" s="25" t="s">
        <v>69</v>
      </c>
      <c r="S33" s="28">
        <v>1461</v>
      </c>
      <c r="T33" s="28">
        <v>1461</v>
      </c>
      <c r="U33" s="28">
        <v>1461</v>
      </c>
      <c r="V33" s="28">
        <v>1461</v>
      </c>
      <c r="AD33" s="24" t="s">
        <v>52</v>
      </c>
      <c r="AE33" s="24">
        <f t="shared" si="0"/>
        <v>-5.9376830606488316</v>
      </c>
      <c r="AF33" s="24">
        <f t="shared" si="1"/>
        <v>-7.9993567840283113</v>
      </c>
      <c r="AG33" s="24">
        <f t="shared" si="2"/>
        <v>-5.7588572166658656</v>
      </c>
      <c r="AH33" s="24">
        <f t="shared" si="3"/>
        <v>-0.63680180728067026</v>
      </c>
      <c r="AI33" s="25">
        <v>8</v>
      </c>
      <c r="AJ33" s="26">
        <v>15.45</v>
      </c>
      <c r="AK33" s="27">
        <v>16859.074000000001</v>
      </c>
    </row>
    <row r="34" spans="2:37">
      <c r="B34" s="39">
        <v>20</v>
      </c>
      <c r="C34" s="40">
        <f t="shared" si="8"/>
        <v>20</v>
      </c>
      <c r="D34" s="41">
        <f t="shared" si="8"/>
        <v>51</v>
      </c>
      <c r="E34" s="41">
        <f t="shared" si="8"/>
        <v>80</v>
      </c>
      <c r="F34" s="41">
        <f t="shared" si="8"/>
        <v>111</v>
      </c>
      <c r="G34" s="41">
        <f t="shared" si="8"/>
        <v>141</v>
      </c>
      <c r="H34" s="41">
        <f t="shared" si="8"/>
        <v>172</v>
      </c>
      <c r="I34" s="41">
        <f t="shared" si="8"/>
        <v>202</v>
      </c>
      <c r="J34" s="41">
        <f t="shared" si="8"/>
        <v>233</v>
      </c>
      <c r="K34" s="41">
        <f t="shared" si="8"/>
        <v>264</v>
      </c>
      <c r="L34" s="41">
        <f t="shared" si="8"/>
        <v>294</v>
      </c>
      <c r="M34" s="41">
        <f t="shared" si="8"/>
        <v>325</v>
      </c>
      <c r="N34" s="42">
        <f t="shared" si="8"/>
        <v>355</v>
      </c>
      <c r="O34" s="15"/>
      <c r="P34" s="55"/>
      <c r="R34" s="25" t="s">
        <v>70</v>
      </c>
      <c r="S34" s="25">
        <v>5</v>
      </c>
      <c r="T34" s="25">
        <v>5</v>
      </c>
      <c r="U34" s="25">
        <v>5</v>
      </c>
      <c r="V34" s="25">
        <v>5</v>
      </c>
      <c r="AD34" s="24" t="s">
        <v>57</v>
      </c>
      <c r="AE34" s="25">
        <f>SUM(AE10:AE33)</f>
        <v>355.59330263137451</v>
      </c>
      <c r="AF34" s="25">
        <f>SUM(AF10:AF33)</f>
        <v>270.33102993688772</v>
      </c>
      <c r="AG34" s="25">
        <f>SUM(AG10:AG33)</f>
        <v>561.44737783812718</v>
      </c>
      <c r="AH34" s="25">
        <f>SUM(AH10:AH33)</f>
        <v>488.46124327732201</v>
      </c>
    </row>
    <row r="35" spans="2:37">
      <c r="B35" s="39">
        <v>21</v>
      </c>
      <c r="C35" s="40">
        <f t="shared" si="8"/>
        <v>21</v>
      </c>
      <c r="D35" s="41">
        <f t="shared" si="8"/>
        <v>52</v>
      </c>
      <c r="E35" s="41">
        <f t="shared" si="8"/>
        <v>81</v>
      </c>
      <c r="F35" s="41">
        <f t="shared" si="8"/>
        <v>112</v>
      </c>
      <c r="G35" s="41">
        <f t="shared" si="8"/>
        <v>142</v>
      </c>
      <c r="H35" s="41">
        <f t="shared" si="8"/>
        <v>173</v>
      </c>
      <c r="I35" s="41">
        <f t="shared" si="8"/>
        <v>203</v>
      </c>
      <c r="J35" s="41">
        <f t="shared" si="8"/>
        <v>234</v>
      </c>
      <c r="K35" s="41">
        <f t="shared" si="8"/>
        <v>265</v>
      </c>
      <c r="L35" s="41">
        <f t="shared" si="8"/>
        <v>295</v>
      </c>
      <c r="M35" s="41">
        <f t="shared" si="8"/>
        <v>326</v>
      </c>
      <c r="N35" s="42">
        <f t="shared" si="8"/>
        <v>356</v>
      </c>
      <c r="O35" s="15"/>
      <c r="P35" s="55"/>
      <c r="R35" s="25" t="s">
        <v>71</v>
      </c>
      <c r="S35" s="25">
        <v>2</v>
      </c>
      <c r="T35" s="25">
        <v>2</v>
      </c>
      <c r="U35" s="25">
        <v>2</v>
      </c>
      <c r="V35" s="25">
        <v>2</v>
      </c>
    </row>
    <row r="36" spans="2:37">
      <c r="B36" s="39">
        <v>22</v>
      </c>
      <c r="C36" s="40">
        <f t="shared" si="8"/>
        <v>22</v>
      </c>
      <c r="D36" s="41">
        <f t="shared" si="8"/>
        <v>53</v>
      </c>
      <c r="E36" s="41">
        <f t="shared" si="8"/>
        <v>82</v>
      </c>
      <c r="F36" s="41">
        <f t="shared" si="8"/>
        <v>113</v>
      </c>
      <c r="G36" s="41">
        <f t="shared" si="8"/>
        <v>143</v>
      </c>
      <c r="H36" s="41">
        <f t="shared" si="8"/>
        <v>174</v>
      </c>
      <c r="I36" s="41">
        <f t="shared" si="8"/>
        <v>204</v>
      </c>
      <c r="J36" s="41">
        <f t="shared" si="8"/>
        <v>235</v>
      </c>
      <c r="K36" s="41">
        <f t="shared" si="8"/>
        <v>266</v>
      </c>
      <c r="L36" s="41">
        <f t="shared" si="8"/>
        <v>296</v>
      </c>
      <c r="M36" s="41">
        <f t="shared" si="8"/>
        <v>327</v>
      </c>
      <c r="N36" s="42">
        <f t="shared" si="8"/>
        <v>357</v>
      </c>
      <c r="O36" s="15"/>
      <c r="P36" s="55"/>
      <c r="R36" s="25" t="s">
        <v>72</v>
      </c>
      <c r="S36" s="28">
        <v>153</v>
      </c>
      <c r="T36" s="28">
        <v>153</v>
      </c>
      <c r="U36" s="28">
        <v>153</v>
      </c>
      <c r="V36" s="28">
        <v>153</v>
      </c>
    </row>
    <row r="37" spans="2:37">
      <c r="B37" s="39">
        <v>23</v>
      </c>
      <c r="C37" s="40">
        <f t="shared" si="8"/>
        <v>23</v>
      </c>
      <c r="D37" s="41">
        <f t="shared" si="8"/>
        <v>54</v>
      </c>
      <c r="E37" s="41">
        <f t="shared" si="8"/>
        <v>83</v>
      </c>
      <c r="F37" s="41">
        <f t="shared" si="8"/>
        <v>114</v>
      </c>
      <c r="G37" s="41">
        <f t="shared" si="8"/>
        <v>144</v>
      </c>
      <c r="H37" s="41">
        <f t="shared" si="8"/>
        <v>175</v>
      </c>
      <c r="I37" s="41">
        <f t="shared" si="8"/>
        <v>205</v>
      </c>
      <c r="J37" s="41">
        <f t="shared" si="8"/>
        <v>236</v>
      </c>
      <c r="K37" s="41">
        <f t="shared" si="8"/>
        <v>267</v>
      </c>
      <c r="L37" s="41">
        <f t="shared" si="8"/>
        <v>297</v>
      </c>
      <c r="M37" s="41">
        <f t="shared" si="8"/>
        <v>328</v>
      </c>
      <c r="N37" s="42">
        <f t="shared" si="8"/>
        <v>358</v>
      </c>
      <c r="O37" s="15"/>
      <c r="P37" s="55"/>
    </row>
    <row r="38" spans="2:37">
      <c r="B38" s="39">
        <v>24</v>
      </c>
      <c r="C38" s="40">
        <f t="shared" si="8"/>
        <v>24</v>
      </c>
      <c r="D38" s="41">
        <f t="shared" si="8"/>
        <v>55</v>
      </c>
      <c r="E38" s="41">
        <f t="shared" si="8"/>
        <v>84</v>
      </c>
      <c r="F38" s="41">
        <f t="shared" si="8"/>
        <v>115</v>
      </c>
      <c r="G38" s="41">
        <f t="shared" si="8"/>
        <v>145</v>
      </c>
      <c r="H38" s="41">
        <f t="shared" si="8"/>
        <v>176</v>
      </c>
      <c r="I38" s="41">
        <f t="shared" si="8"/>
        <v>206</v>
      </c>
      <c r="J38" s="41">
        <f t="shared" si="8"/>
        <v>237</v>
      </c>
      <c r="K38" s="41">
        <f t="shared" si="8"/>
        <v>268</v>
      </c>
      <c r="L38" s="41">
        <f t="shared" si="8"/>
        <v>298</v>
      </c>
      <c r="M38" s="41">
        <f t="shared" si="8"/>
        <v>329</v>
      </c>
      <c r="N38" s="42">
        <f t="shared" si="8"/>
        <v>359</v>
      </c>
      <c r="O38" s="15"/>
      <c r="P38" s="55"/>
    </row>
    <row r="39" spans="2:37">
      <c r="B39" s="39">
        <v>25</v>
      </c>
      <c r="C39" s="40">
        <f t="shared" si="8"/>
        <v>25</v>
      </c>
      <c r="D39" s="41">
        <f t="shared" si="8"/>
        <v>56</v>
      </c>
      <c r="E39" s="41">
        <f t="shared" si="8"/>
        <v>85</v>
      </c>
      <c r="F39" s="41">
        <f t="shared" si="8"/>
        <v>116</v>
      </c>
      <c r="G39" s="41">
        <f t="shared" si="8"/>
        <v>146</v>
      </c>
      <c r="H39" s="41">
        <f t="shared" si="8"/>
        <v>177</v>
      </c>
      <c r="I39" s="41">
        <f t="shared" si="8"/>
        <v>207</v>
      </c>
      <c r="J39" s="41">
        <f t="shared" si="8"/>
        <v>238</v>
      </c>
      <c r="K39" s="41">
        <f t="shared" si="8"/>
        <v>269</v>
      </c>
      <c r="L39" s="41">
        <f t="shared" si="8"/>
        <v>299</v>
      </c>
      <c r="M39" s="41">
        <f t="shared" si="8"/>
        <v>330</v>
      </c>
      <c r="N39" s="42">
        <f t="shared" si="8"/>
        <v>360</v>
      </c>
      <c r="O39" s="15"/>
      <c r="P39" s="55"/>
    </row>
    <row r="40" spans="2:37">
      <c r="B40" s="39">
        <v>26</v>
      </c>
      <c r="C40" s="40">
        <f t="shared" si="8"/>
        <v>26</v>
      </c>
      <c r="D40" s="41">
        <f t="shared" si="8"/>
        <v>57</v>
      </c>
      <c r="E40" s="41">
        <f t="shared" si="8"/>
        <v>86</v>
      </c>
      <c r="F40" s="41">
        <f t="shared" si="8"/>
        <v>117</v>
      </c>
      <c r="G40" s="41">
        <f t="shared" si="8"/>
        <v>147</v>
      </c>
      <c r="H40" s="41">
        <f t="shared" si="8"/>
        <v>178</v>
      </c>
      <c r="I40" s="41">
        <f t="shared" si="8"/>
        <v>208</v>
      </c>
      <c r="J40" s="41">
        <f t="shared" si="8"/>
        <v>239</v>
      </c>
      <c r="K40" s="41">
        <f t="shared" si="8"/>
        <v>270</v>
      </c>
      <c r="L40" s="41">
        <f t="shared" si="8"/>
        <v>300</v>
      </c>
      <c r="M40" s="41">
        <f t="shared" si="8"/>
        <v>331</v>
      </c>
      <c r="N40" s="42">
        <f t="shared" si="8"/>
        <v>361</v>
      </c>
      <c r="O40" s="15"/>
      <c r="P40" s="55"/>
    </row>
    <row r="41" spans="2:37">
      <c r="B41" s="39">
        <v>27</v>
      </c>
      <c r="C41" s="40">
        <f t="shared" si="8"/>
        <v>27</v>
      </c>
      <c r="D41" s="41">
        <f t="shared" si="8"/>
        <v>58</v>
      </c>
      <c r="E41" s="41">
        <f t="shared" si="8"/>
        <v>87</v>
      </c>
      <c r="F41" s="41">
        <f t="shared" si="8"/>
        <v>118</v>
      </c>
      <c r="G41" s="41">
        <f t="shared" si="8"/>
        <v>148</v>
      </c>
      <c r="H41" s="41">
        <f t="shared" si="8"/>
        <v>179</v>
      </c>
      <c r="I41" s="41">
        <f t="shared" si="8"/>
        <v>209</v>
      </c>
      <c r="J41" s="41">
        <f t="shared" si="8"/>
        <v>240</v>
      </c>
      <c r="K41" s="41">
        <f t="shared" si="8"/>
        <v>271</v>
      </c>
      <c r="L41" s="41">
        <f t="shared" si="8"/>
        <v>301</v>
      </c>
      <c r="M41" s="41">
        <f t="shared" si="8"/>
        <v>332</v>
      </c>
      <c r="N41" s="42">
        <f t="shared" si="8"/>
        <v>362</v>
      </c>
      <c r="O41" s="15"/>
      <c r="P41" s="55"/>
    </row>
    <row r="42" spans="2:37">
      <c r="B42" s="39">
        <v>28</v>
      </c>
      <c r="C42" s="40">
        <f t="shared" si="8"/>
        <v>28</v>
      </c>
      <c r="D42" s="41">
        <f t="shared" si="8"/>
        <v>59</v>
      </c>
      <c r="E42" s="41">
        <f t="shared" si="8"/>
        <v>88</v>
      </c>
      <c r="F42" s="41">
        <f t="shared" si="8"/>
        <v>119</v>
      </c>
      <c r="G42" s="41">
        <f t="shared" si="8"/>
        <v>149</v>
      </c>
      <c r="H42" s="41">
        <f t="shared" si="8"/>
        <v>180</v>
      </c>
      <c r="I42" s="41">
        <f t="shared" si="8"/>
        <v>210</v>
      </c>
      <c r="J42" s="41">
        <f t="shared" si="8"/>
        <v>241</v>
      </c>
      <c r="K42" s="41">
        <f t="shared" si="8"/>
        <v>272</v>
      </c>
      <c r="L42" s="41">
        <f t="shared" si="8"/>
        <v>302</v>
      </c>
      <c r="M42" s="41">
        <f t="shared" si="8"/>
        <v>333</v>
      </c>
      <c r="N42" s="42">
        <f t="shared" si="8"/>
        <v>363</v>
      </c>
      <c r="O42" s="15"/>
      <c r="P42" s="55"/>
    </row>
    <row r="43" spans="2:37">
      <c r="B43" s="39">
        <v>29</v>
      </c>
      <c r="C43" s="40">
        <f t="shared" si="8"/>
        <v>29</v>
      </c>
      <c r="D43" s="41">
        <f>IF(C4="Y",D42+1,"")</f>
        <v>60</v>
      </c>
      <c r="E43" s="41">
        <f t="shared" si="8"/>
        <v>89</v>
      </c>
      <c r="F43" s="41">
        <f t="shared" si="8"/>
        <v>120</v>
      </c>
      <c r="G43" s="41">
        <f t="shared" si="8"/>
        <v>150</v>
      </c>
      <c r="H43" s="41">
        <f t="shared" si="8"/>
        <v>181</v>
      </c>
      <c r="I43" s="41">
        <f t="shared" si="8"/>
        <v>211</v>
      </c>
      <c r="J43" s="41">
        <f t="shared" si="8"/>
        <v>242</v>
      </c>
      <c r="K43" s="41">
        <f t="shared" si="8"/>
        <v>273</v>
      </c>
      <c r="L43" s="41">
        <f t="shared" si="8"/>
        <v>303</v>
      </c>
      <c r="M43" s="41">
        <f t="shared" si="8"/>
        <v>334</v>
      </c>
      <c r="N43" s="42">
        <f t="shared" si="8"/>
        <v>364</v>
      </c>
      <c r="O43" s="15"/>
      <c r="P43" s="55"/>
    </row>
    <row r="44" spans="2:37">
      <c r="B44" s="39">
        <v>30</v>
      </c>
      <c r="C44" s="40">
        <f t="shared" si="8"/>
        <v>30</v>
      </c>
      <c r="D44" s="41"/>
      <c r="E44" s="41">
        <f t="shared" si="8"/>
        <v>90</v>
      </c>
      <c r="F44" s="41">
        <f t="shared" si="8"/>
        <v>121</v>
      </c>
      <c r="G44" s="41">
        <f t="shared" si="8"/>
        <v>151</v>
      </c>
      <c r="H44" s="41">
        <f t="shared" si="8"/>
        <v>182</v>
      </c>
      <c r="I44" s="41">
        <f t="shared" si="8"/>
        <v>212</v>
      </c>
      <c r="J44" s="41">
        <f t="shared" si="8"/>
        <v>243</v>
      </c>
      <c r="K44" s="41">
        <f t="shared" si="8"/>
        <v>274</v>
      </c>
      <c r="L44" s="41">
        <f t="shared" si="8"/>
        <v>304</v>
      </c>
      <c r="M44" s="41">
        <f t="shared" si="8"/>
        <v>335</v>
      </c>
      <c r="N44" s="42">
        <f t="shared" si="8"/>
        <v>365</v>
      </c>
      <c r="O44" s="15"/>
      <c r="P44" s="55"/>
    </row>
    <row r="45" spans="2:37">
      <c r="B45" s="43">
        <v>31</v>
      </c>
      <c r="C45" s="44">
        <f t="shared" si="8"/>
        <v>31</v>
      </c>
      <c r="D45" s="45"/>
      <c r="E45" s="45">
        <f t="shared" si="8"/>
        <v>91</v>
      </c>
      <c r="F45" s="45"/>
      <c r="G45" s="45">
        <f t="shared" si="8"/>
        <v>152</v>
      </c>
      <c r="H45" s="45"/>
      <c r="I45" s="45">
        <f t="shared" si="8"/>
        <v>213</v>
      </c>
      <c r="J45" s="45">
        <f t="shared" si="8"/>
        <v>244</v>
      </c>
      <c r="K45" s="45"/>
      <c r="L45" s="45">
        <f t="shared" si="8"/>
        <v>305</v>
      </c>
      <c r="M45" s="45"/>
      <c r="N45" s="46">
        <f t="shared" si="8"/>
        <v>366</v>
      </c>
      <c r="O45" s="15"/>
      <c r="P45" s="55"/>
    </row>
    <row r="46" spans="2:37">
      <c r="C46" s="32"/>
      <c r="D46" s="33"/>
      <c r="O46" s="15"/>
      <c r="P46" s="55"/>
    </row>
    <row r="47" spans="2:37">
      <c r="C47" s="32"/>
      <c r="D47" s="33"/>
      <c r="O47" s="15"/>
      <c r="P47" s="55"/>
    </row>
    <row r="48" spans="2:37">
      <c r="C48" s="32"/>
      <c r="D48" s="33"/>
      <c r="O48" s="15"/>
      <c r="P48" s="55"/>
    </row>
    <row r="49" spans="3:22">
      <c r="C49" s="32"/>
      <c r="D49" s="33"/>
      <c r="O49" s="15"/>
      <c r="P49" s="55"/>
    </row>
    <row r="50" spans="3:22">
      <c r="P50" s="55"/>
    </row>
    <row r="51" spans="3:22">
      <c r="P51" s="55"/>
    </row>
    <row r="52" spans="3:22">
      <c r="P52" s="55"/>
    </row>
    <row r="53" spans="3:22">
      <c r="P53" s="55"/>
    </row>
    <row r="54" spans="3:22">
      <c r="P54" s="55"/>
    </row>
    <row r="57" spans="3:22">
      <c r="R57" s="25" t="s">
        <v>73</v>
      </c>
      <c r="S57" s="28">
        <v>2</v>
      </c>
      <c r="T57" s="28">
        <v>2</v>
      </c>
      <c r="U57" s="28">
        <v>2</v>
      </c>
      <c r="V57" s="28">
        <v>2</v>
      </c>
    </row>
    <row r="58" spans="3:22">
      <c r="R58" s="25" t="s">
        <v>74</v>
      </c>
      <c r="S58" s="28">
        <v>12</v>
      </c>
      <c r="T58" s="28">
        <v>12</v>
      </c>
      <c r="U58" s="28">
        <v>12</v>
      </c>
      <c r="V58" s="28">
        <v>12</v>
      </c>
    </row>
    <row r="59" spans="3:22">
      <c r="R59" s="25" t="s">
        <v>75</v>
      </c>
      <c r="S59" s="29">
        <f>MOD(S15-INT(S15)+0.5,1)</f>
        <v>0.13037337129935622</v>
      </c>
      <c r="T59" s="29">
        <f>MOD(T15-INT(T15)+0.5,1)</f>
        <v>0.86948877200484276</v>
      </c>
      <c r="U59" s="29">
        <f>MOD(U15-INT(U15)+0.5,1)</f>
        <v>0.53129728836938739</v>
      </c>
      <c r="V59" s="29">
        <f>MOD(V15-INT(V15)+0.5,1)</f>
        <v>0.39005537005141377</v>
      </c>
    </row>
  </sheetData>
  <sheetProtection sheet="1" objects="1" scenarios="1"/>
  <mergeCells count="2">
    <mergeCell ref="B13:N13"/>
    <mergeCell ref="X9:Y9"/>
  </mergeCells>
  <phoneticPr fontId="22" type="noConversion"/>
  <conditionalFormatting sqref="B15:N45">
    <cfRule type="expression" dxfId="4" priority="5" stopIfTrue="1">
      <formula>MOD(ROW(),2)=1</formula>
    </cfRule>
  </conditionalFormatting>
  <conditionalFormatting sqref="C15:N45">
    <cfRule type="cellIs" dxfId="3" priority="1" operator="equal">
      <formula>$E$7</formula>
    </cfRule>
    <cfRule type="cellIs" dxfId="2" priority="2" operator="equal">
      <formula>$E$8</formula>
    </cfRule>
    <cfRule type="cellIs" dxfId="1" priority="3" operator="equal">
      <formula>$E$9</formula>
    </cfRule>
    <cfRule type="cellIs" dxfId="0" priority="4" operator="equal">
      <formula>$E$10</formula>
    </cfRule>
  </conditionalFormatting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7F7C-7906-7040-A074-1B26610B6FB5}">
  <dimension ref="B2:I48"/>
  <sheetViews>
    <sheetView showGridLines="0" workbookViewId="0">
      <selection activeCell="I56" sqref="I56"/>
    </sheetView>
  </sheetViews>
  <sheetFormatPr baseColWidth="10" defaultRowHeight="16"/>
  <cols>
    <col min="1" max="1" width="10.83203125" style="59"/>
    <col min="2" max="2" width="13.33203125" style="59" customWidth="1"/>
    <col min="3" max="5" width="10.83203125" style="59"/>
    <col min="6" max="6" width="13.33203125" style="59" customWidth="1"/>
    <col min="7" max="16384" width="10.83203125" style="59"/>
  </cols>
  <sheetData>
    <row r="2" spans="2:8" ht="21">
      <c r="B2" s="140" t="s">
        <v>122</v>
      </c>
      <c r="C2" s="140"/>
      <c r="D2" s="140"/>
      <c r="F2" s="140" t="s">
        <v>121</v>
      </c>
      <c r="G2" s="140"/>
      <c r="H2" s="140"/>
    </row>
    <row r="4" spans="2:8">
      <c r="B4" s="80"/>
      <c r="C4" s="107" t="s">
        <v>120</v>
      </c>
      <c r="D4" s="79"/>
      <c r="F4" s="78"/>
      <c r="G4" s="106" t="s">
        <v>120</v>
      </c>
      <c r="H4" s="76"/>
    </row>
    <row r="5" spans="2:8">
      <c r="B5" s="74" t="s">
        <v>119</v>
      </c>
      <c r="C5" s="105">
        <v>46.45</v>
      </c>
      <c r="D5" s="99"/>
      <c r="F5" s="71" t="s">
        <v>119</v>
      </c>
      <c r="G5" s="105">
        <v>46.45</v>
      </c>
      <c r="H5" s="97"/>
    </row>
    <row r="6" spans="2:8">
      <c r="B6" s="74"/>
      <c r="C6" s="88">
        <f>(PI()/180)*C5</f>
        <v>0.81070543755136615</v>
      </c>
      <c r="D6" s="72" t="s">
        <v>104</v>
      </c>
      <c r="E6" s="66"/>
      <c r="F6" s="71"/>
      <c r="G6" s="87">
        <f>(PI()/180)*G5</f>
        <v>0.81070543755136615</v>
      </c>
      <c r="H6" s="69" t="s">
        <v>104</v>
      </c>
    </row>
    <row r="7" spans="2:8">
      <c r="B7" s="74" t="s">
        <v>118</v>
      </c>
      <c r="C7" s="105">
        <v>7.42</v>
      </c>
      <c r="D7" s="99"/>
      <c r="F7" s="71" t="s">
        <v>118</v>
      </c>
      <c r="G7" s="105">
        <v>7.42</v>
      </c>
      <c r="H7" s="97"/>
    </row>
    <row r="8" spans="2:8">
      <c r="B8" s="74" t="s">
        <v>117</v>
      </c>
      <c r="C8" s="104">
        <v>1</v>
      </c>
      <c r="D8" s="99"/>
      <c r="F8" s="71" t="s">
        <v>117</v>
      </c>
      <c r="G8" s="104">
        <v>1</v>
      </c>
      <c r="H8" s="97"/>
    </row>
    <row r="9" spans="2:8">
      <c r="B9" s="74" t="s">
        <v>5</v>
      </c>
      <c r="C9" s="103">
        <v>45632</v>
      </c>
      <c r="D9" s="99"/>
      <c r="F9" s="71" t="s">
        <v>5</v>
      </c>
      <c r="G9" s="103">
        <v>45632</v>
      </c>
      <c r="H9" s="97"/>
    </row>
    <row r="10" spans="2:8">
      <c r="B10" s="74" t="s">
        <v>90</v>
      </c>
      <c r="C10" s="102" t="str">
        <f>IF(OR(MOD(YEAR(C9),400)=0,AND(MOD(YEAR(C9),4)=0,MOD(YEAR(C9),100)&lt;&gt;9)),"Y", "N")</f>
        <v>Y</v>
      </c>
      <c r="D10" s="99"/>
      <c r="F10" s="71" t="s">
        <v>90</v>
      </c>
      <c r="G10" s="101" t="str">
        <f>IF(OR(MOD(YEAR(G9),400)=0,AND(MOD(YEAR(G9),4)=0,MOD(YEAR(G9),100)&lt;&gt;9)),"Y", "N")</f>
        <v>Y</v>
      </c>
      <c r="H10" s="97"/>
    </row>
    <row r="11" spans="2:8">
      <c r="B11" s="74" t="s">
        <v>91</v>
      </c>
      <c r="C11" s="100">
        <f>INT(275*MONTH(C9)/9)-IF(C10="Y",1,2)*INT((MONTH(C9)+9)/12)+DAY(C9)-30</f>
        <v>341</v>
      </c>
      <c r="D11" s="99"/>
      <c r="F11" s="71" t="s">
        <v>91</v>
      </c>
      <c r="G11" s="98">
        <f>INT(275*MONTH(G9)/9)-IF(G10="Y",1,2)*INT((MONTH(G9)+9)/12)+DAY(G9)-30</f>
        <v>341</v>
      </c>
      <c r="H11" s="97"/>
    </row>
    <row r="12" spans="2:8">
      <c r="B12" s="74" t="s">
        <v>6</v>
      </c>
      <c r="C12" s="96">
        <v>0.50694444444444442</v>
      </c>
      <c r="D12" s="72" t="s">
        <v>97</v>
      </c>
      <c r="E12" s="66"/>
      <c r="F12" s="71" t="s">
        <v>6</v>
      </c>
      <c r="G12" s="96">
        <v>0.50694444444444442</v>
      </c>
      <c r="H12" s="69" t="s">
        <v>97</v>
      </c>
    </row>
    <row r="13" spans="2:8">
      <c r="B13" s="74"/>
      <c r="C13" s="73">
        <f>HOUR(C12)+MINUTE(C12)/60</f>
        <v>12.166666666666666</v>
      </c>
      <c r="D13" s="72" t="s">
        <v>98</v>
      </c>
      <c r="E13" s="66"/>
      <c r="F13" s="71"/>
      <c r="G13" s="70">
        <f>HOUR(G12)+MINUTE(G12)/60</f>
        <v>12.166666666666666</v>
      </c>
      <c r="H13" s="69" t="s">
        <v>98</v>
      </c>
    </row>
    <row r="14" spans="2:8">
      <c r="B14" s="68" t="s">
        <v>28</v>
      </c>
      <c r="C14" s="86">
        <f>(PI()/180)*(360/365)*(C11-81)</f>
        <v>4.4756936434703896</v>
      </c>
      <c r="D14" s="67" t="s">
        <v>104</v>
      </c>
      <c r="E14" s="66"/>
      <c r="F14" s="65" t="s">
        <v>116</v>
      </c>
      <c r="G14" s="82">
        <f>2*PI()*(G11-1+((G13-12)/24))/IF(G10="Y",366,365)</f>
        <v>5.8369580264272107</v>
      </c>
      <c r="H14" s="63" t="s">
        <v>104</v>
      </c>
    </row>
    <row r="15" spans="2:8">
      <c r="C15" s="73"/>
      <c r="D15" s="66"/>
      <c r="E15" s="66"/>
      <c r="G15" s="73"/>
      <c r="H15" s="66"/>
    </row>
    <row r="16" spans="2:8">
      <c r="B16" s="80" t="s">
        <v>115</v>
      </c>
      <c r="C16" s="95">
        <f>15*(C8)</f>
        <v>15</v>
      </c>
      <c r="D16" s="94" t="s">
        <v>103</v>
      </c>
      <c r="E16" s="66"/>
      <c r="F16" s="78"/>
      <c r="G16" s="93"/>
      <c r="H16" s="92"/>
    </row>
    <row r="17" spans="2:9">
      <c r="B17" s="74" t="s">
        <v>114</v>
      </c>
      <c r="C17" s="73">
        <f>9.87*SIN(2*C14)-7.53*COS(C14)-1.5*SIN(C14)</f>
        <v>7.723696523337285</v>
      </c>
      <c r="D17" s="72" t="s">
        <v>111</v>
      </c>
      <c r="E17" s="66"/>
      <c r="F17" s="71" t="s">
        <v>114</v>
      </c>
      <c r="G17" s="70">
        <f>229.18*(0.000075+0.001868*COS(G14)-0.032077*SIN(G14)-0.014615*COS(2*G14)-0.040849*SIN(2*G14))</f>
        <v>8.7634016301900708</v>
      </c>
      <c r="H17" s="69" t="s">
        <v>111</v>
      </c>
    </row>
    <row r="18" spans="2:9">
      <c r="B18" s="74" t="s">
        <v>113</v>
      </c>
      <c r="C18" s="73">
        <f>(4*(C7-C16)+C17)/60</f>
        <v>-0.3766050579443786</v>
      </c>
      <c r="D18" s="72" t="s">
        <v>98</v>
      </c>
      <c r="E18" s="66"/>
      <c r="F18" s="71" t="s">
        <v>112</v>
      </c>
      <c r="G18" s="70">
        <f>(G17+4*G7-60*G8)/60</f>
        <v>-0.3592766394968322</v>
      </c>
      <c r="H18" s="69" t="s">
        <v>98</v>
      </c>
    </row>
    <row r="19" spans="2:9">
      <c r="B19" s="74"/>
      <c r="C19" s="73">
        <f>60*C18</f>
        <v>-22.596303476662715</v>
      </c>
      <c r="D19" s="72" t="s">
        <v>111</v>
      </c>
      <c r="E19" s="66"/>
      <c r="F19" s="71"/>
      <c r="G19" s="70">
        <f>60*G18</f>
        <v>-21.556598369809933</v>
      </c>
      <c r="H19" s="69" t="s">
        <v>111</v>
      </c>
    </row>
    <row r="20" spans="2:9">
      <c r="B20" s="74" t="s">
        <v>110</v>
      </c>
      <c r="C20" s="73">
        <f>C13+C18</f>
        <v>11.790061608722288</v>
      </c>
      <c r="D20" s="72" t="s">
        <v>98</v>
      </c>
      <c r="E20" s="66"/>
      <c r="F20" s="71" t="s">
        <v>110</v>
      </c>
      <c r="G20" s="70">
        <f>G13+G18</f>
        <v>11.807390027169834</v>
      </c>
      <c r="H20" s="69" t="s">
        <v>98</v>
      </c>
    </row>
    <row r="21" spans="2:9">
      <c r="B21" s="74"/>
      <c r="C21" s="91">
        <f>TIME(INT(C20),ROUND(60*(C20-INT(C20)),0),0)</f>
        <v>0.4909722222222222</v>
      </c>
      <c r="D21" s="72" t="s">
        <v>97</v>
      </c>
      <c r="E21" s="66"/>
      <c r="F21" s="71"/>
      <c r="G21" s="90">
        <f>TIME(INT(G20),ROUND(60*(G20-INT(G20)),0),0)</f>
        <v>0.49166666666666664</v>
      </c>
      <c r="H21" s="69" t="s">
        <v>97</v>
      </c>
      <c r="I21" s="89"/>
    </row>
    <row r="22" spans="2:9">
      <c r="B22" s="74" t="s">
        <v>109</v>
      </c>
      <c r="C22" s="88">
        <f>15*(C20-12)</f>
        <v>-3.1490758691656762</v>
      </c>
      <c r="D22" s="72" t="s">
        <v>103</v>
      </c>
      <c r="E22" s="66"/>
      <c r="F22" s="71" t="s">
        <v>109</v>
      </c>
      <c r="G22" s="87">
        <f>(60*G20/4)-180</f>
        <v>-2.8891495924524975</v>
      </c>
      <c r="H22" s="69" t="s">
        <v>103</v>
      </c>
    </row>
    <row r="23" spans="2:9">
      <c r="B23" s="74"/>
      <c r="C23" s="88">
        <f>(PI()/180)*C22</f>
        <v>-5.4961742312043226E-2</v>
      </c>
      <c r="D23" s="72" t="s">
        <v>104</v>
      </c>
      <c r="E23" s="66"/>
      <c r="F23" s="71"/>
      <c r="G23" s="87">
        <f>(PI()/180)*G22</f>
        <v>-5.0425172970948395E-2</v>
      </c>
      <c r="H23" s="69" t="s">
        <v>104</v>
      </c>
    </row>
    <row r="24" spans="2:9">
      <c r="B24" s="74" t="s">
        <v>108</v>
      </c>
      <c r="C24" s="73">
        <f>23.45*SIN(C14)</f>
        <v>-22.796171710951484</v>
      </c>
      <c r="D24" s="72" t="s">
        <v>103</v>
      </c>
      <c r="E24" s="66"/>
      <c r="F24" s="71" t="s">
        <v>108</v>
      </c>
      <c r="G24" s="87">
        <f>(180/PI())*G25</f>
        <v>-22.412009701189035</v>
      </c>
      <c r="H24" s="69" t="s">
        <v>103</v>
      </c>
    </row>
    <row r="25" spans="2:9">
      <c r="B25" s="68"/>
      <c r="C25" s="86">
        <f>(PI()/180)*C24</f>
        <v>-0.39786825320609248</v>
      </c>
      <c r="D25" s="67" t="s">
        <v>104</v>
      </c>
      <c r="E25" s="66"/>
      <c r="F25" s="65"/>
      <c r="G25" s="82">
        <f>0.006918-0.399912*COS(G14)+0.070257*SIN(G14)-0.006758*COS(2*G14)+0.000907*SIN(2*G14)-0.002697*COS(3*G14)+0.00148*SIN(3*G14)</f>
        <v>-0.39116336127465917</v>
      </c>
      <c r="H25" s="63" t="s">
        <v>104</v>
      </c>
    </row>
    <row r="26" spans="2:9">
      <c r="C26" s="73"/>
      <c r="G26" s="73"/>
    </row>
    <row r="27" spans="2:9">
      <c r="B27" s="80" t="s">
        <v>107</v>
      </c>
      <c r="C27" s="85">
        <f>(180/PI())*ASIN(SIN(C25)*SIN(C6)+COS(C25)*COS(C6)*COS(C23))</f>
        <v>20.695073068336452</v>
      </c>
      <c r="D27" s="79"/>
      <c r="F27" s="78" t="s">
        <v>107</v>
      </c>
      <c r="G27" s="85">
        <f>(180/PI())*ASIN(SIN(G25)*SIN(G6)+COS(G25)*COS(G6)*COS(G23))</f>
        <v>21.088265154541165</v>
      </c>
      <c r="H27" s="76"/>
    </row>
    <row r="28" spans="2:9">
      <c r="B28" s="68" t="s">
        <v>106</v>
      </c>
      <c r="C28" s="84">
        <f>IF(C23&lt;0,(180/PI())*ACOS((SIN(C25)*COS(C6)-COS(C25)*SIN(C6)*COS(C23))/COS((PI()/180)*C27)),360-(180/PI())*ACOS((SIN(C25)*COS(C6)-COS(C25)*SIN(C6)*COS(C23))/COS((PI()/180)*C27)))</f>
        <v>176.89670153373632</v>
      </c>
      <c r="D28" s="83"/>
      <c r="F28" s="65" t="s">
        <v>106</v>
      </c>
      <c r="G28" s="82">
        <f>IF(G23&lt;0,(180/PI())*ACOS((SIN(G25)*COS(G6)-COS(G25)*SIN(G6)*COS(G23))/COS((PI()/180)*G27)),360-(180/PI())*ACOS((SIN(G25)*COS(G6)-COS(G25)*SIN(G6)*COS(G23))/COS((PI()/180)*G27)))</f>
        <v>177.13738234672678</v>
      </c>
      <c r="H28" s="81"/>
    </row>
    <row r="31" spans="2:9">
      <c r="B31" s="80"/>
      <c r="C31" s="77">
        <v>90.832999999999998</v>
      </c>
      <c r="D31" s="79"/>
      <c r="F31" s="78"/>
      <c r="G31" s="77">
        <v>90.832999999999998</v>
      </c>
      <c r="H31" s="76"/>
    </row>
    <row r="32" spans="2:9">
      <c r="B32" s="74" t="s">
        <v>105</v>
      </c>
      <c r="C32" s="73">
        <f>ACOS((COS((PI()/180)*C31)/(COS(C6)*COS(C25)))-TAN(C6)*TAN(C25))</f>
        <v>1.1382062375173172</v>
      </c>
      <c r="D32" s="72" t="s">
        <v>104</v>
      </c>
      <c r="E32" s="66"/>
      <c r="F32" s="71" t="s">
        <v>105</v>
      </c>
      <c r="G32" s="70">
        <f>ACOS((COS((PI()/180)*G31)/(COS(G6)*COS(G25)))-TAN(G6)*TAN(G25))</f>
        <v>1.1472327591547351</v>
      </c>
      <c r="H32" s="69" t="s">
        <v>104</v>
      </c>
    </row>
    <row r="33" spans="2:8">
      <c r="B33" s="74"/>
      <c r="C33" s="73">
        <f>(180/PI())*C32</f>
        <v>65.214413625207214</v>
      </c>
      <c r="D33" s="72" t="s">
        <v>103</v>
      </c>
      <c r="E33" s="66"/>
      <c r="F33" s="71"/>
      <c r="G33" s="70">
        <f>(180/PI())*G32</f>
        <v>65.731595218714773</v>
      </c>
      <c r="H33" s="69" t="s">
        <v>103</v>
      </c>
    </row>
    <row r="34" spans="2:8">
      <c r="B34" s="74" t="s">
        <v>102</v>
      </c>
      <c r="C34" s="73">
        <f>(720-4*(C7+C33)-C17)/60+C8</f>
        <v>8.0289774829305642</v>
      </c>
      <c r="D34" s="72" t="s">
        <v>98</v>
      </c>
      <c r="E34" s="66"/>
      <c r="F34" s="71" t="s">
        <v>102</v>
      </c>
      <c r="G34" s="70">
        <f>(720-4*(G7+G33)-G17)/60+G8</f>
        <v>7.9771702915825138</v>
      </c>
      <c r="H34" s="69" t="s">
        <v>98</v>
      </c>
    </row>
    <row r="35" spans="2:8">
      <c r="B35" s="74"/>
      <c r="C35" s="75">
        <f>TIME(INT(C34),ROUND(60*(C34-INT(C34)),0),0)</f>
        <v>0.3347222222222222</v>
      </c>
      <c r="D35" s="72" t="s">
        <v>97</v>
      </c>
      <c r="E35" s="66"/>
      <c r="F35" s="71"/>
      <c r="G35" s="75">
        <f>TIME(INT(G34),ROUND(60*(G34-INT(G34)),0),0)</f>
        <v>0.33263888888888887</v>
      </c>
      <c r="H35" s="69" t="s">
        <v>97</v>
      </c>
    </row>
    <row r="36" spans="2:8">
      <c r="B36" s="74" t="s">
        <v>101</v>
      </c>
      <c r="C36" s="73">
        <f>(720-4*(C7-C33)-C17)/60+C8</f>
        <v>16.724232632958191</v>
      </c>
      <c r="D36" s="72" t="s">
        <v>98</v>
      </c>
      <c r="E36" s="66"/>
      <c r="F36" s="71" t="s">
        <v>101</v>
      </c>
      <c r="G36" s="70">
        <f>(720-4*(G7-G33)-G17)/60+G8</f>
        <v>16.74138298741115</v>
      </c>
      <c r="H36" s="69" t="s">
        <v>98</v>
      </c>
    </row>
    <row r="37" spans="2:8">
      <c r="B37" s="74"/>
      <c r="C37" s="75">
        <f>TIME(INT(C36),ROUND(60*(C36-INT(C36)),0),0)</f>
        <v>0.69652777777777775</v>
      </c>
      <c r="D37" s="72" t="s">
        <v>97</v>
      </c>
      <c r="E37" s="66"/>
      <c r="F37" s="71"/>
      <c r="G37" s="75">
        <f>TIME(INT(G36),ROUND(60*(G36-INT(G36)),0),0)</f>
        <v>0.69722222222222219</v>
      </c>
      <c r="H37" s="69" t="s">
        <v>97</v>
      </c>
    </row>
    <row r="38" spans="2:8">
      <c r="B38" s="74" t="s">
        <v>100</v>
      </c>
      <c r="C38" s="73">
        <f>(720-4*C7-C17)/60+C8</f>
        <v>12.37660505794438</v>
      </c>
      <c r="D38" s="72" t="s">
        <v>98</v>
      </c>
      <c r="E38" s="66"/>
      <c r="F38" s="71" t="s">
        <v>100</v>
      </c>
      <c r="G38" s="70">
        <f>(720-4*G7-G17)/60+G8</f>
        <v>12.359276639496834</v>
      </c>
      <c r="H38" s="69" t="s">
        <v>98</v>
      </c>
    </row>
    <row r="39" spans="2:8">
      <c r="B39" s="74"/>
      <c r="C39" s="75">
        <f>TIME(INT(C38),ROUND(60*(C38-INT(C38)),0),0)</f>
        <v>0.51597222222222228</v>
      </c>
      <c r="D39" s="72" t="s">
        <v>97</v>
      </c>
      <c r="E39" s="66"/>
      <c r="F39" s="71"/>
      <c r="G39" s="75">
        <f>TIME(INT(G38),ROUND(60*(G38-INT(G38)),0),0)</f>
        <v>0.51527777777777772</v>
      </c>
      <c r="H39" s="69" t="s">
        <v>97</v>
      </c>
    </row>
    <row r="40" spans="2:8">
      <c r="B40" s="74" t="s">
        <v>99</v>
      </c>
      <c r="C40" s="73">
        <f>C36-C34</f>
        <v>8.6952551500276272</v>
      </c>
      <c r="D40" s="72" t="s">
        <v>98</v>
      </c>
      <c r="E40" s="66"/>
      <c r="F40" s="71" t="s">
        <v>99</v>
      </c>
      <c r="G40" s="70">
        <f>G36-G34</f>
        <v>8.7642126958286362</v>
      </c>
      <c r="H40" s="69" t="s">
        <v>98</v>
      </c>
    </row>
    <row r="41" spans="2:8">
      <c r="B41" s="68"/>
      <c r="C41" s="64">
        <f>TIME(INT(C40),ROUND(60*(C40-INT(C40)),0),0)</f>
        <v>0.36249999999999999</v>
      </c>
      <c r="D41" s="67" t="s">
        <v>97</v>
      </c>
      <c r="E41" s="66"/>
      <c r="F41" s="65"/>
      <c r="G41" s="64">
        <f>TIME(INT(G40),ROUND(60*(G40-INT(G40)),0),0)</f>
        <v>0.36527777777777776</v>
      </c>
      <c r="H41" s="63" t="s">
        <v>97</v>
      </c>
    </row>
    <row r="43" spans="2:8">
      <c r="B43" s="62" t="s">
        <v>96</v>
      </c>
      <c r="F43" s="62" t="s">
        <v>96</v>
      </c>
    </row>
    <row r="46" spans="2:8" ht="19">
      <c r="B46" s="61" t="s">
        <v>95</v>
      </c>
    </row>
    <row r="47" spans="2:8">
      <c r="B47" s="60" t="s">
        <v>94</v>
      </c>
    </row>
    <row r="48" spans="2:8">
      <c r="B48" s="60" t="s">
        <v>93</v>
      </c>
    </row>
  </sheetData>
  <sheetProtection sheet="1" objects="1" scenarios="1"/>
  <mergeCells count="2">
    <mergeCell ref="B2:D2"/>
    <mergeCell ref="F2:H2"/>
  </mergeCells>
  <hyperlinks>
    <hyperlink ref="F43" r:id="rId1" xr:uid="{5FBBAC5F-15C0-DF47-A4C4-8FE3BCF5DBAD}"/>
    <hyperlink ref="B43" r:id="rId2" xr:uid="{5FC06E2E-F50F-B54A-93C4-7A8F39803D7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BDBE-A255-2C42-A625-D869667CF1C4}">
  <dimension ref="B2:P176"/>
  <sheetViews>
    <sheetView showGridLines="0" workbookViewId="0">
      <selection activeCell="M154" sqref="M154"/>
    </sheetView>
  </sheetViews>
  <sheetFormatPr baseColWidth="10" defaultRowHeight="16"/>
  <cols>
    <col min="1" max="5" width="10.83203125" style="59"/>
    <col min="6" max="6" width="13.33203125" style="59" customWidth="1"/>
    <col min="7" max="16384" width="10.83203125" style="59"/>
  </cols>
  <sheetData>
    <row r="2" spans="2:16" ht="21">
      <c r="B2" s="108" t="s">
        <v>136</v>
      </c>
    </row>
    <row r="4" spans="2:16">
      <c r="B4" s="80"/>
      <c r="C4" s="107" t="s">
        <v>120</v>
      </c>
      <c r="D4" s="79"/>
      <c r="F4" s="124" t="s">
        <v>132</v>
      </c>
      <c r="J4" s="124" t="s">
        <v>131</v>
      </c>
      <c r="N4" s="124" t="s">
        <v>130</v>
      </c>
    </row>
    <row r="5" spans="2:16">
      <c r="B5" s="74" t="s">
        <v>119</v>
      </c>
      <c r="C5" s="105">
        <v>46.45</v>
      </c>
      <c r="D5" s="72" t="s">
        <v>103</v>
      </c>
    </row>
    <row r="6" spans="2:16">
      <c r="B6" s="74"/>
      <c r="C6" s="88">
        <f>(PI()/180)*C5</f>
        <v>0.81070543755136615</v>
      </c>
      <c r="D6" s="72" t="s">
        <v>104</v>
      </c>
      <c r="F6" s="80" t="s">
        <v>6</v>
      </c>
      <c r="G6" s="125">
        <f>C28</f>
        <v>0.27708333333333335</v>
      </c>
      <c r="H6" s="94" t="s">
        <v>97</v>
      </c>
      <c r="J6" s="80" t="s">
        <v>6</v>
      </c>
      <c r="K6" s="125">
        <f>C32</f>
        <v>0.52638888888888891</v>
      </c>
      <c r="L6" s="94" t="s">
        <v>97</v>
      </c>
      <c r="N6" s="80" t="s">
        <v>6</v>
      </c>
      <c r="O6" s="125">
        <f>C30</f>
        <v>0.77638888888888891</v>
      </c>
      <c r="P6" s="94" t="s">
        <v>97</v>
      </c>
    </row>
    <row r="7" spans="2:16">
      <c r="B7" s="74" t="s">
        <v>118</v>
      </c>
      <c r="C7" s="105">
        <v>7.42</v>
      </c>
      <c r="D7" s="72" t="s">
        <v>103</v>
      </c>
      <c r="E7" s="66"/>
      <c r="F7" s="74"/>
      <c r="G7" s="73">
        <f>HOUR(G6)+MINUTE(G6)/60</f>
        <v>6.65</v>
      </c>
      <c r="H7" s="72" t="s">
        <v>98</v>
      </c>
      <c r="J7" s="74"/>
      <c r="K7" s="73">
        <f>HOUR(K6)+MINUTE(K6)/60</f>
        <v>12.633333333333333</v>
      </c>
      <c r="L7" s="72" t="s">
        <v>98</v>
      </c>
      <c r="N7" s="74"/>
      <c r="O7" s="73">
        <f>HOUR(O6)+MINUTE(O6)/60</f>
        <v>18.633333333333333</v>
      </c>
      <c r="P7" s="72" t="s">
        <v>98</v>
      </c>
    </row>
    <row r="8" spans="2:16">
      <c r="B8" s="74" t="s">
        <v>117</v>
      </c>
      <c r="C8" s="104">
        <v>1</v>
      </c>
      <c r="D8" s="72" t="s">
        <v>127</v>
      </c>
      <c r="F8" s="68" t="s">
        <v>116</v>
      </c>
      <c r="G8" s="86">
        <f>2*PI()*($C11-1+((G7-12)/24))/IF($C10="Y",366,365)</f>
        <v>1.3523798156897866</v>
      </c>
      <c r="H8" s="67" t="s">
        <v>104</v>
      </c>
      <c r="J8" s="68" t="s">
        <v>116</v>
      </c>
      <c r="K8" s="86">
        <f>2*PI()*($C11-1+((K7-12)/24))/IF($C10="Y",366,365)</f>
        <v>1.3566596872844994</v>
      </c>
      <c r="L8" s="67" t="s">
        <v>104</v>
      </c>
      <c r="N8" s="68" t="s">
        <v>116</v>
      </c>
      <c r="O8" s="86">
        <f>2*PI()*($C11-1+((O7-12)/24))/IF($C10="Y",366,365)</f>
        <v>1.3609514805271083</v>
      </c>
      <c r="P8" s="67" t="s">
        <v>104</v>
      </c>
    </row>
    <row r="9" spans="2:16">
      <c r="B9" s="74" t="s">
        <v>5</v>
      </c>
      <c r="C9" s="103">
        <v>45371</v>
      </c>
      <c r="D9" s="72" t="s">
        <v>129</v>
      </c>
      <c r="F9" s="74" t="s">
        <v>114</v>
      </c>
      <c r="G9" s="73">
        <f>229.18*(0.000075+0.001868*COS(G8)-0.032077*SIN(G8)-0.014615*COS(2*G8)-0.040849*SIN(2*G8))</f>
        <v>-7.9925646084212421</v>
      </c>
      <c r="H9" s="72" t="s">
        <v>111</v>
      </c>
      <c r="I9" s="89"/>
      <c r="J9" s="74" t="s">
        <v>114</v>
      </c>
      <c r="K9" s="73">
        <f>229.18*(0.000075+0.001868*COS(K8)-0.032077*SIN(K8)-0.014615*COS(2*K8)-0.040849*SIN(2*K8))</f>
        <v>-7.9163339260496794</v>
      </c>
      <c r="L9" s="72" t="s">
        <v>111</v>
      </c>
      <c r="N9" s="74" t="s">
        <v>114</v>
      </c>
      <c r="O9" s="73">
        <f>229.18*(0.000075+0.001868*COS(O8)-0.032077*SIN(O8)-0.014615*COS(2*O8)-0.040849*SIN(2*O8))</f>
        <v>-7.8396985721673857</v>
      </c>
      <c r="P9" s="72" t="s">
        <v>111</v>
      </c>
    </row>
    <row r="10" spans="2:16">
      <c r="B10" s="74" t="s">
        <v>90</v>
      </c>
      <c r="C10" s="102" t="str">
        <f>IF(OR(MOD(YEAR(C9),400)=0,AND(MOD(YEAR(C9),4)=0,MOD(YEAR(C9),100)&lt;&gt;9)),"Y", "N")</f>
        <v>Y</v>
      </c>
      <c r="D10" s="72" t="s">
        <v>128</v>
      </c>
      <c r="F10" s="74" t="s">
        <v>112</v>
      </c>
      <c r="G10" s="73">
        <f>(G9+4*$C7-60*$C8)/60</f>
        <v>-0.63854274347368734</v>
      </c>
      <c r="H10" s="72" t="s">
        <v>98</v>
      </c>
      <c r="J10" s="74" t="s">
        <v>112</v>
      </c>
      <c r="K10" s="73">
        <f>(K9+4*$C7-60*$C8)/60</f>
        <v>-0.63727223210082806</v>
      </c>
      <c r="L10" s="72" t="s">
        <v>98</v>
      </c>
      <c r="N10" s="74" t="s">
        <v>112</v>
      </c>
      <c r="O10" s="73">
        <f>(O9+4*$C7-60*$C8)/60</f>
        <v>-0.63599497620278977</v>
      </c>
      <c r="P10" s="72" t="s">
        <v>98</v>
      </c>
    </row>
    <row r="11" spans="2:16">
      <c r="B11" s="74" t="s">
        <v>91</v>
      </c>
      <c r="C11" s="100">
        <f>INT(275*MONTH(C9)/9)-IF(C10="Y",1,2)*INT((MONTH(C9)+9)/12)+DAY(C9)-30</f>
        <v>80</v>
      </c>
      <c r="D11" s="72" t="s">
        <v>127</v>
      </c>
      <c r="F11" s="74"/>
      <c r="G11" s="73">
        <f>60*G10</f>
        <v>-38.312564608421241</v>
      </c>
      <c r="H11" s="72" t="s">
        <v>111</v>
      </c>
      <c r="J11" s="74"/>
      <c r="K11" s="73">
        <f>60*K10</f>
        <v>-38.236333926049682</v>
      </c>
      <c r="L11" s="72" t="s">
        <v>111</v>
      </c>
      <c r="N11" s="74"/>
      <c r="O11" s="73">
        <f>60*O10</f>
        <v>-38.159698572167386</v>
      </c>
      <c r="P11" s="72" t="s">
        <v>111</v>
      </c>
    </row>
    <row r="12" spans="2:16">
      <c r="B12" s="74" t="s">
        <v>6</v>
      </c>
      <c r="C12" s="96">
        <v>0.5</v>
      </c>
      <c r="D12" s="72" t="s">
        <v>97</v>
      </c>
      <c r="F12" s="74" t="s">
        <v>110</v>
      </c>
      <c r="G12" s="73">
        <f>G7+G10</f>
        <v>6.0114572565263131</v>
      </c>
      <c r="H12" s="72" t="s">
        <v>98</v>
      </c>
      <c r="J12" s="74" t="s">
        <v>110</v>
      </c>
      <c r="K12" s="73">
        <f>K7+K10</f>
        <v>11.996061101232504</v>
      </c>
      <c r="L12" s="72" t="s">
        <v>98</v>
      </c>
      <c r="N12" s="74" t="s">
        <v>110</v>
      </c>
      <c r="O12" s="73">
        <f>O7+O10</f>
        <v>17.997338357130545</v>
      </c>
      <c r="P12" s="72" t="s">
        <v>98</v>
      </c>
    </row>
    <row r="13" spans="2:16">
      <c r="B13" s="74"/>
      <c r="C13" s="73">
        <f>HOUR(C12)+MINUTE(C12)/60</f>
        <v>12</v>
      </c>
      <c r="D13" s="72" t="s">
        <v>98</v>
      </c>
      <c r="F13" s="74"/>
      <c r="G13" s="91">
        <f>TIME(INT(G12),ROUND(60*(G12-INT(G12)),0),0)</f>
        <v>0.25069444444444444</v>
      </c>
      <c r="H13" s="72" t="s">
        <v>97</v>
      </c>
      <c r="J13" s="74"/>
      <c r="K13" s="91">
        <f>TIME(INT(K12),ROUND(60*(K12-INT(K12)),0),0)</f>
        <v>0.5</v>
      </c>
      <c r="L13" s="72" t="s">
        <v>97</v>
      </c>
      <c r="N13" s="74"/>
      <c r="O13" s="91">
        <f>TIME(INT(O12),ROUND(60*(O12-INT(O12)),0),0)</f>
        <v>0.75</v>
      </c>
      <c r="P13" s="72" t="s">
        <v>97</v>
      </c>
    </row>
    <row r="14" spans="2:16">
      <c r="B14" s="68" t="s">
        <v>116</v>
      </c>
      <c r="C14" s="86">
        <f>2*PI()*($C11-1+((C13-12)/24))/IF($C10="Y",366,365)</f>
        <v>1.3562066646644462</v>
      </c>
      <c r="D14" s="67" t="s">
        <v>104</v>
      </c>
      <c r="F14" s="74" t="s">
        <v>109</v>
      </c>
      <c r="G14" s="88">
        <f>(60*G12/4)-180</f>
        <v>-89.828141152105303</v>
      </c>
      <c r="H14" s="72" t="s">
        <v>103</v>
      </c>
      <c r="J14" s="74" t="s">
        <v>109</v>
      </c>
      <c r="K14" s="88">
        <f>(60*K12/4)-180</f>
        <v>-5.9083481512431035E-2</v>
      </c>
      <c r="L14" s="72" t="s">
        <v>103</v>
      </c>
      <c r="N14" s="74" t="s">
        <v>109</v>
      </c>
      <c r="O14" s="88">
        <f>(60*O12/4)-180</f>
        <v>89.960075356958157</v>
      </c>
      <c r="P14" s="72" t="s">
        <v>103</v>
      </c>
    </row>
    <row r="15" spans="2:16">
      <c r="B15" s="74" t="s">
        <v>114</v>
      </c>
      <c r="C15" s="73">
        <f>229.18*(0.000075+0.001868*COS($C14)-0.032077*SIN($C14)-0.014615*COS(2*$C14)-0.040849*SIN(2*$C14))</f>
        <v>-7.9244120815331875</v>
      </c>
      <c r="D15" s="72" t="s">
        <v>111</v>
      </c>
      <c r="F15" s="74"/>
      <c r="G15" s="88">
        <f>(PI()/180)*G14</f>
        <v>-1.5677968240504501</v>
      </c>
      <c r="H15" s="72" t="s">
        <v>104</v>
      </c>
      <c r="J15" s="74"/>
      <c r="K15" s="88">
        <f>(PI()/180)*K14</f>
        <v>-1.0312012859331205E-3</v>
      </c>
      <c r="L15" s="72" t="s">
        <v>104</v>
      </c>
      <c r="N15" s="74"/>
      <c r="O15" s="88">
        <f>(PI()/180)*O14</f>
        <v>1.570099510321133</v>
      </c>
      <c r="P15" s="72" t="s">
        <v>104</v>
      </c>
    </row>
    <row r="16" spans="2:16">
      <c r="B16" s="74" t="s">
        <v>112</v>
      </c>
      <c r="C16" s="73">
        <f>(C15+4*$C7-60*$C8)/60</f>
        <v>-0.63740686802555302</v>
      </c>
      <c r="D16" s="72" t="s">
        <v>98</v>
      </c>
      <c r="F16" s="74" t="s">
        <v>108</v>
      </c>
      <c r="G16" s="88">
        <f>(180/PI())*G17</f>
        <v>-0.23901791508988124</v>
      </c>
      <c r="H16" s="72" t="s">
        <v>103</v>
      </c>
      <c r="J16" s="74" t="s">
        <v>108</v>
      </c>
      <c r="K16" s="88">
        <f>(180/PI())*K17</f>
        <v>-0.14079292379442865</v>
      </c>
      <c r="L16" s="72" t="s">
        <v>103</v>
      </c>
      <c r="N16" s="74" t="s">
        <v>108</v>
      </c>
      <c r="O16" s="88">
        <f>(180/PI())*O17</f>
        <v>-4.2308706541460635E-2</v>
      </c>
      <c r="P16" s="72" t="s">
        <v>103</v>
      </c>
    </row>
    <row r="17" spans="2:16">
      <c r="B17" s="74"/>
      <c r="C17" s="73">
        <f>60*$C16</f>
        <v>-38.244412081533184</v>
      </c>
      <c r="D17" s="72" t="s">
        <v>111</v>
      </c>
      <c r="F17" s="68"/>
      <c r="G17" s="86">
        <f>0.006918-0.399912*COS(G8)+0.070257*SIN(G8)-0.006758*COS(2*G8)+0.000907*SIN(2*G8)-0.002697*COS(3*G8)+0.00148*SIN(3*G8)</f>
        <v>-4.1716495895706661E-3</v>
      </c>
      <c r="H17" s="67" t="s">
        <v>104</v>
      </c>
      <c r="J17" s="68"/>
      <c r="K17" s="86">
        <f>0.006918-0.399912*COS(K8)+0.070257*SIN(K8)-0.006758*COS(2*K8)+0.000907*SIN(2*K8)-0.002697*COS(3*K8)+0.00148*SIN(3*K8)</f>
        <v>-2.4573000837222478E-3</v>
      </c>
      <c r="L17" s="67" t="s">
        <v>104</v>
      </c>
      <c r="N17" s="68"/>
      <c r="O17" s="86">
        <f>0.006918-0.399912*COS(O8)+0.070257*SIN(O8)-0.006758*COS(2*O8)+0.000907*SIN(2*O8)-0.002697*COS(3*O8)+0.00148*SIN(3*O8)</f>
        <v>-7.3842623140855088E-4</v>
      </c>
      <c r="P17" s="67" t="s">
        <v>104</v>
      </c>
    </row>
    <row r="18" spans="2:16">
      <c r="B18" s="74" t="s">
        <v>110</v>
      </c>
      <c r="C18" s="73">
        <f>$C13+$C16</f>
        <v>11.362593131974448</v>
      </c>
      <c r="D18" s="72" t="s">
        <v>98</v>
      </c>
      <c r="F18" s="80" t="s">
        <v>107</v>
      </c>
      <c r="G18" s="85">
        <f>(180/PI())*ASIN(SIN(G17)*SIN($C6)+COS(G17)*COS($C6)*COS(G15))</f>
        <v>-5.4825971507541767E-2</v>
      </c>
      <c r="H18" s="79"/>
      <c r="J18" s="80" t="s">
        <v>107</v>
      </c>
      <c r="K18" s="85">
        <f>(180/PI())*ASIN(SIN(K17)*SIN($C6)+COS(K17)*COS($C6)*COS(K15))</f>
        <v>43.409178184375065</v>
      </c>
      <c r="L18" s="79"/>
      <c r="N18" s="80" t="s">
        <v>107</v>
      </c>
      <c r="O18" s="85">
        <f>(180/PI())*ASIN(SIN(O17)*SIN($C6)+COS(O17)*COS($C6)*COS(O15))</f>
        <v>-3.1566588064073455E-3</v>
      </c>
      <c r="P18" s="79"/>
    </row>
    <row r="19" spans="2:16">
      <c r="B19" s="74"/>
      <c r="C19" s="91">
        <f>TIME(INT($C18),ROUND(60*($C18-INT($C18)),0),0)</f>
        <v>0.47361111111111109</v>
      </c>
      <c r="D19" s="72" t="s">
        <v>97</v>
      </c>
      <c r="F19" s="68" t="s">
        <v>106</v>
      </c>
      <c r="G19" s="84">
        <f>IF(G15&lt;0,(180/PI())*ACOS((SIN(G17)*COS($C6)-COS(G17)*SIN($C6)*COS(G15))/COS((PI()/180)*G18)),360-(180/PI())*ACOS((SIN(G17)*COS($C6)-COS(G17)*SIN($C6)*COS(G15))/COS((PI()/180)*G18)))</f>
        <v>90.289238646075731</v>
      </c>
      <c r="H19" s="83"/>
      <c r="J19" s="68" t="s">
        <v>106</v>
      </c>
      <c r="K19" s="84">
        <f>IF(K15&lt;0,(180/PI())*ACOS((SIN(K17)*COS($C6)-COS(K17)*SIN($C6)*COS(K15))/COS((PI()/180)*K18)),360-(180/PI())*ACOS((SIN(K17)*COS($C6)-COS(K17)*SIN($C6)*COS(K15))/COS((PI()/180)*K18)))</f>
        <v>179.91867007323776</v>
      </c>
      <c r="L19" s="83"/>
      <c r="N19" s="68" t="s">
        <v>106</v>
      </c>
      <c r="O19" s="84">
        <f>IF(O15&lt;0,(180/PI())*ACOS((SIN(O17)*COS($C6)-COS(O17)*SIN($C6)*COS(O15))/COS((PI()/180)*O18)),360-(180/PI())*ACOS((SIN(O17)*COS($C6)-COS(O17)*SIN($C6)*COS(O15))/COS((PI()/180)*O18)))</f>
        <v>269.94191352145202</v>
      </c>
      <c r="P19" s="83"/>
    </row>
    <row r="20" spans="2:16">
      <c r="B20" s="74" t="s">
        <v>109</v>
      </c>
      <c r="C20" s="88">
        <f>(60*$C18/4)-180</f>
        <v>-9.5611030203832854</v>
      </c>
      <c r="D20" s="72" t="s">
        <v>103</v>
      </c>
    </row>
    <row r="21" spans="2:16">
      <c r="B21" s="74"/>
      <c r="C21" s="88">
        <f>(PI()/180)*$C20</f>
        <v>-0.16687272782806284</v>
      </c>
      <c r="D21" s="72" t="s">
        <v>104</v>
      </c>
    </row>
    <row r="22" spans="2:16">
      <c r="B22" s="74" t="s">
        <v>108</v>
      </c>
      <c r="C22" s="88">
        <f>(180/PI())*$C23</f>
        <v>-0.15118934701062225</v>
      </c>
      <c r="D22" s="72" t="s">
        <v>103</v>
      </c>
    </row>
    <row r="23" spans="2:16">
      <c r="B23" s="74"/>
      <c r="C23" s="73">
        <f>0.006918-0.399912*COS($C14)+0.070257*SIN($C14)-0.006758*COS(2*$C14)+0.000907*SIN(2*$C14)-0.002697*COS(3*$C14)+0.00148*SIN(3*$C14)</f>
        <v>-2.6387518992756044E-3</v>
      </c>
      <c r="D23" s="72" t="s">
        <v>104</v>
      </c>
    </row>
    <row r="24" spans="2:16">
      <c r="B24" s="80" t="s">
        <v>126</v>
      </c>
      <c r="C24" s="126">
        <v>90</v>
      </c>
      <c r="D24" s="94" t="s">
        <v>103</v>
      </c>
    </row>
    <row r="25" spans="2:16">
      <c r="B25" s="74" t="s">
        <v>105</v>
      </c>
      <c r="C25" s="73">
        <f>ACOS((COS((PI()/180)*$C24)/(COS($C6)*COS($C23)))-TAN($C6)*TAN($C23))</f>
        <v>1.5680205078517588</v>
      </c>
      <c r="D25" s="72" t="s">
        <v>104</v>
      </c>
    </row>
    <row r="26" spans="2:16">
      <c r="B26" s="74"/>
      <c r="C26" s="73">
        <f>(180/PI())*$C25</f>
        <v>89.840957289865742</v>
      </c>
      <c r="D26" s="72" t="s">
        <v>103</v>
      </c>
    </row>
    <row r="27" spans="2:16">
      <c r="B27" s="74" t="s">
        <v>102</v>
      </c>
      <c r="C27" s="73">
        <f>(720-4*($C7+$C26)-$C15)/60+$C8</f>
        <v>6.648009715367837</v>
      </c>
      <c r="D27" s="72" t="s">
        <v>98</v>
      </c>
    </row>
    <row r="28" spans="2:16">
      <c r="B28" s="74"/>
      <c r="C28" s="75">
        <f>TIME(INT($C27),ROUND(60*($C27-INT($C27)),0),0)</f>
        <v>0.27708333333333335</v>
      </c>
      <c r="D28" s="72" t="s">
        <v>97</v>
      </c>
    </row>
    <row r="29" spans="2:16">
      <c r="B29" s="74" t="s">
        <v>101</v>
      </c>
      <c r="C29" s="73">
        <f>(720-4*($C7-$C26)-$C15)/60+$C8</f>
        <v>18.626804020683267</v>
      </c>
      <c r="D29" s="72" t="s">
        <v>98</v>
      </c>
    </row>
    <row r="30" spans="2:16">
      <c r="B30" s="74"/>
      <c r="C30" s="75">
        <f>TIME(INT($C29),ROUND(60*($C29-INT($C29)),0),0)</f>
        <v>0.77638888888888891</v>
      </c>
      <c r="D30" s="72" t="s">
        <v>97</v>
      </c>
    </row>
    <row r="31" spans="2:16">
      <c r="B31" s="74" t="s">
        <v>100</v>
      </c>
      <c r="C31" s="73">
        <f>(720-4*$C7-$C15)/60+$C8</f>
        <v>12.637406868025554</v>
      </c>
      <c r="D31" s="72" t="s">
        <v>98</v>
      </c>
    </row>
    <row r="32" spans="2:16">
      <c r="B32" s="74"/>
      <c r="C32" s="75">
        <f>TIME(INT($C31),ROUND(60*($C31-INT($C31)),0),0)</f>
        <v>0.52638888888888891</v>
      </c>
      <c r="D32" s="72" t="s">
        <v>97</v>
      </c>
    </row>
    <row r="33" spans="2:14">
      <c r="B33" s="74" t="s">
        <v>99</v>
      </c>
      <c r="C33" s="73">
        <f>$C29-$C27</f>
        <v>11.978794305315429</v>
      </c>
      <c r="D33" s="72" t="s">
        <v>98</v>
      </c>
    </row>
    <row r="34" spans="2:14">
      <c r="B34" s="68"/>
      <c r="C34" s="64">
        <f>TIME(INT($C33),ROUND(60*($C33-INT($C33)),0),0)</f>
        <v>0.49930555555555556</v>
      </c>
      <c r="D34" s="67" t="s">
        <v>97</v>
      </c>
    </row>
    <row r="37" spans="2:14">
      <c r="B37" s="124" t="s">
        <v>125</v>
      </c>
    </row>
    <row r="39" spans="2:14">
      <c r="B39" s="123" t="s">
        <v>124</v>
      </c>
      <c r="C39" s="122" t="s">
        <v>6</v>
      </c>
      <c r="D39" s="121" t="s">
        <v>107</v>
      </c>
      <c r="E39" s="120" t="s">
        <v>106</v>
      </c>
    </row>
    <row r="40" spans="2:14">
      <c r="B40" s="119" t="str">
        <f>B27</f>
        <v>sunrise</v>
      </c>
      <c r="C40" s="118">
        <f>C28</f>
        <v>0.27708333333333335</v>
      </c>
      <c r="D40" s="117">
        <f>G18</f>
        <v>-5.4825971507541767E-2</v>
      </c>
      <c r="E40" s="113">
        <f>G19</f>
        <v>90.289238646075731</v>
      </c>
    </row>
    <row r="41" spans="2:14">
      <c r="B41" s="116" t="str">
        <f>B31</f>
        <v>noon</v>
      </c>
      <c r="C41" s="115">
        <f>C32</f>
        <v>0.52638888888888891</v>
      </c>
      <c r="D41" s="114">
        <f>K18</f>
        <v>43.409178184375065</v>
      </c>
      <c r="E41" s="113">
        <f>K19</f>
        <v>179.91867007323776</v>
      </c>
    </row>
    <row r="42" spans="2:14">
      <c r="B42" s="112" t="str">
        <f>B29</f>
        <v>sunset</v>
      </c>
      <c r="C42" s="111">
        <f>C30</f>
        <v>0.77638888888888891</v>
      </c>
      <c r="D42" s="110">
        <f>O18</f>
        <v>-3.1566588064073455E-3</v>
      </c>
      <c r="E42" s="109">
        <f>O19</f>
        <v>269.94191352145202</v>
      </c>
    </row>
    <row r="46" spans="2:14" ht="21">
      <c r="B46" s="108" t="s">
        <v>135</v>
      </c>
    </row>
    <row r="48" spans="2:14">
      <c r="B48" s="80"/>
      <c r="C48" s="107" t="s">
        <v>120</v>
      </c>
      <c r="D48" s="79"/>
      <c r="F48" s="124" t="s">
        <v>132</v>
      </c>
      <c r="J48" s="124" t="s">
        <v>131</v>
      </c>
      <c r="N48" s="124" t="s">
        <v>130</v>
      </c>
    </row>
    <row r="49" spans="2:16">
      <c r="B49" s="74" t="s">
        <v>119</v>
      </c>
      <c r="C49" s="105">
        <v>46.45</v>
      </c>
      <c r="D49" s="72" t="s">
        <v>103</v>
      </c>
    </row>
    <row r="50" spans="2:16">
      <c r="B50" s="74"/>
      <c r="C50" s="88">
        <f>(PI()/180)*C49</f>
        <v>0.81070543755136615</v>
      </c>
      <c r="D50" s="72" t="s">
        <v>104</v>
      </c>
      <c r="F50" s="80" t="s">
        <v>6</v>
      </c>
      <c r="G50" s="125">
        <f>C72</f>
        <v>0.19652777777777777</v>
      </c>
      <c r="H50" s="94" t="s">
        <v>97</v>
      </c>
      <c r="J50" s="80" t="s">
        <v>6</v>
      </c>
      <c r="K50" s="125">
        <f>C76</f>
        <v>0.52222222222222225</v>
      </c>
      <c r="L50" s="94" t="s">
        <v>97</v>
      </c>
      <c r="N50" s="80" t="s">
        <v>6</v>
      </c>
      <c r="O50" s="125">
        <f>C74</f>
        <v>0.84722222222222221</v>
      </c>
      <c r="P50" s="94" t="s">
        <v>97</v>
      </c>
    </row>
    <row r="51" spans="2:16">
      <c r="B51" s="74" t="s">
        <v>118</v>
      </c>
      <c r="C51" s="105">
        <v>7.42</v>
      </c>
      <c r="D51" s="72" t="s">
        <v>103</v>
      </c>
      <c r="E51" s="66"/>
      <c r="F51" s="74"/>
      <c r="G51" s="73">
        <f>HOUR(G50)+MINUTE(G50)/60</f>
        <v>4.7166666666666668</v>
      </c>
      <c r="H51" s="72" t="s">
        <v>98</v>
      </c>
      <c r="J51" s="74"/>
      <c r="K51" s="73">
        <f>HOUR(K50)+MINUTE(K50)/60</f>
        <v>12.533333333333333</v>
      </c>
      <c r="L51" s="72" t="s">
        <v>98</v>
      </c>
      <c r="N51" s="74"/>
      <c r="O51" s="73">
        <f>HOUR(O50)+MINUTE(O50)/60</f>
        <v>20.333333333333332</v>
      </c>
      <c r="P51" s="72" t="s">
        <v>98</v>
      </c>
    </row>
    <row r="52" spans="2:16">
      <c r="B52" s="74" t="s">
        <v>117</v>
      </c>
      <c r="C52" s="104">
        <v>1</v>
      </c>
      <c r="D52" s="72" t="s">
        <v>127</v>
      </c>
      <c r="F52" s="68" t="s">
        <v>116</v>
      </c>
      <c r="G52" s="86">
        <f>2*PI()*($C55-1+((G51-12)/24))/IF($C54="Y",366,365)</f>
        <v>2.9303768178139498</v>
      </c>
      <c r="H52" s="67" t="s">
        <v>104</v>
      </c>
      <c r="J52" s="68" t="s">
        <v>116</v>
      </c>
      <c r="K52" s="86">
        <f>2*PI()*($C55-1+((K51-12)/24))/IF($C54="Y",366,365)</f>
        <v>2.9359680706772373</v>
      </c>
      <c r="L52" s="67" t="s">
        <v>104</v>
      </c>
      <c r="N52" s="68" t="s">
        <v>116</v>
      </c>
      <c r="O52" s="86">
        <f>2*PI()*($C55-1+((O51-12)/24))/IF($C54="Y",366,365)</f>
        <v>2.9415474018926289</v>
      </c>
      <c r="P52" s="67" t="s">
        <v>104</v>
      </c>
    </row>
    <row r="53" spans="2:16">
      <c r="B53" s="74" t="s">
        <v>5</v>
      </c>
      <c r="C53" s="103">
        <v>45463</v>
      </c>
      <c r="D53" s="72" t="s">
        <v>129</v>
      </c>
      <c r="F53" s="74" t="s">
        <v>114</v>
      </c>
      <c r="G53" s="73">
        <f>229.18*(0.000075+0.001868*COS(G52)-0.032077*SIN(G52)-0.014615*COS(2*G52)-0.040849*SIN(2*G52))</f>
        <v>-1.1595137660548778</v>
      </c>
      <c r="H53" s="72" t="s">
        <v>111</v>
      </c>
      <c r="I53" s="89"/>
      <c r="J53" s="74" t="s">
        <v>114</v>
      </c>
      <c r="K53" s="73">
        <f>229.18*(0.000075+0.001868*COS(K52)-0.032077*SIN(K52)-0.014615*COS(2*K52)-0.040849*SIN(2*K52))</f>
        <v>-1.2306831094992376</v>
      </c>
      <c r="L53" s="72" t="s">
        <v>111</v>
      </c>
      <c r="N53" s="74" t="s">
        <v>114</v>
      </c>
      <c r="O53" s="73">
        <f>229.18*(0.000075+0.001868*COS(O52)-0.032077*SIN(O52)-0.014615*COS(2*O52)-0.040849*SIN(2*O52))</f>
        <v>-1.3017246711292658</v>
      </c>
      <c r="P53" s="72" t="s">
        <v>111</v>
      </c>
    </row>
    <row r="54" spans="2:16">
      <c r="B54" s="74" t="s">
        <v>90</v>
      </c>
      <c r="C54" s="102" t="str">
        <f>IF(OR(MOD(YEAR(C53),400)=0,AND(MOD(YEAR(C53),4)=0,MOD(YEAR(C53),100)&lt;&gt;9)),"Y", "N")</f>
        <v>Y</v>
      </c>
      <c r="D54" s="72" t="s">
        <v>128</v>
      </c>
      <c r="F54" s="74" t="s">
        <v>112</v>
      </c>
      <c r="G54" s="73">
        <f>(G53+4*$C51-60*$C52)/60</f>
        <v>-0.52465856276758127</v>
      </c>
      <c r="H54" s="72" t="s">
        <v>98</v>
      </c>
      <c r="J54" s="74" t="s">
        <v>112</v>
      </c>
      <c r="K54" s="73">
        <f>(K53+4*$C51-60*$C52)/60</f>
        <v>-0.52584471849165404</v>
      </c>
      <c r="L54" s="72" t="s">
        <v>98</v>
      </c>
      <c r="N54" s="74" t="s">
        <v>112</v>
      </c>
      <c r="O54" s="73">
        <f>(O53+4*$C51-60*$C52)/60</f>
        <v>-0.52702874451882109</v>
      </c>
      <c r="P54" s="72" t="s">
        <v>98</v>
      </c>
    </row>
    <row r="55" spans="2:16">
      <c r="B55" s="74" t="s">
        <v>91</v>
      </c>
      <c r="C55" s="100">
        <f>INT(275*MONTH(C53)/9)-IF(C54="Y",1,2)*INT((MONTH(C53)+9)/12)+DAY(C53)-30</f>
        <v>172</v>
      </c>
      <c r="D55" s="72" t="s">
        <v>127</v>
      </c>
      <c r="F55" s="74"/>
      <c r="G55" s="73">
        <f>60*G54</f>
        <v>-31.479513766054875</v>
      </c>
      <c r="H55" s="72" t="s">
        <v>111</v>
      </c>
      <c r="J55" s="74"/>
      <c r="K55" s="73">
        <f>60*K54</f>
        <v>-31.550683109499243</v>
      </c>
      <c r="L55" s="72" t="s">
        <v>111</v>
      </c>
      <c r="N55" s="74"/>
      <c r="O55" s="73">
        <f>60*O54</f>
        <v>-31.621724671129265</v>
      </c>
      <c r="P55" s="72" t="s">
        <v>111</v>
      </c>
    </row>
    <row r="56" spans="2:16">
      <c r="B56" s="74" t="s">
        <v>6</v>
      </c>
      <c r="C56" s="96">
        <v>0.5</v>
      </c>
      <c r="D56" s="72" t="s">
        <v>97</v>
      </c>
      <c r="F56" s="74" t="s">
        <v>110</v>
      </c>
      <c r="G56" s="73">
        <f>G51+G54</f>
        <v>4.1920081038990853</v>
      </c>
      <c r="H56" s="72" t="s">
        <v>98</v>
      </c>
      <c r="J56" s="74" t="s">
        <v>110</v>
      </c>
      <c r="K56" s="73">
        <f>K51+K54</f>
        <v>12.007488614841678</v>
      </c>
      <c r="L56" s="72" t="s">
        <v>98</v>
      </c>
      <c r="N56" s="74" t="s">
        <v>110</v>
      </c>
      <c r="O56" s="73">
        <f>O51+O54</f>
        <v>19.806304588814513</v>
      </c>
      <c r="P56" s="72" t="s">
        <v>98</v>
      </c>
    </row>
    <row r="57" spans="2:16">
      <c r="B57" s="74"/>
      <c r="C57" s="73">
        <f>HOUR(C56)+MINUTE(C56)/60</f>
        <v>12</v>
      </c>
      <c r="D57" s="72" t="s">
        <v>98</v>
      </c>
      <c r="F57" s="74"/>
      <c r="G57" s="91">
        <f>TIME(INT(G56),ROUND(60*(G56-INT(G56)),0),0)</f>
        <v>0.17499999999999999</v>
      </c>
      <c r="H57" s="72" t="s">
        <v>97</v>
      </c>
      <c r="J57" s="74"/>
      <c r="K57" s="91">
        <f>TIME(INT(K56),ROUND(60*(K56-INT(K56)),0),0)</f>
        <v>0.5</v>
      </c>
      <c r="L57" s="72" t="s">
        <v>97</v>
      </c>
      <c r="N57" s="74"/>
      <c r="O57" s="91">
        <f>TIME(INT(O56),ROUND(60*(O56-INT(O56)),0),0)</f>
        <v>0.82499999999999996</v>
      </c>
      <c r="P57" s="72" t="s">
        <v>97</v>
      </c>
    </row>
    <row r="58" spans="2:16">
      <c r="B58" s="68" t="s">
        <v>116</v>
      </c>
      <c r="C58" s="86">
        <f>2*PI()*($C55-1+((C57-12)/24))/IF($C54="Y",366,365)</f>
        <v>2.9355865779445609</v>
      </c>
      <c r="D58" s="67" t="s">
        <v>104</v>
      </c>
      <c r="F58" s="74" t="s">
        <v>109</v>
      </c>
      <c r="G58" s="88">
        <f>(60*G56/4)-180</f>
        <v>-117.11987844151372</v>
      </c>
      <c r="H58" s="72" t="s">
        <v>103</v>
      </c>
      <c r="J58" s="74" t="s">
        <v>109</v>
      </c>
      <c r="K58" s="88">
        <f>(60*K56/4)-180</f>
        <v>0.11232922262516354</v>
      </c>
      <c r="L58" s="72" t="s">
        <v>103</v>
      </c>
      <c r="N58" s="74" t="s">
        <v>109</v>
      </c>
      <c r="O58" s="88">
        <f>(60*O56/4)-180</f>
        <v>117.0945688322177</v>
      </c>
      <c r="P58" s="72" t="s">
        <v>103</v>
      </c>
    </row>
    <row r="59" spans="2:16">
      <c r="B59" s="74" t="s">
        <v>114</v>
      </c>
      <c r="C59" s="73">
        <f>229.18*(0.000075+0.001868*COS($C58)-0.032077*SIN($C58)-0.014615*COS(2*$C58)-0.040849*SIN(2*$C58))</f>
        <v>-1.2258262985741162</v>
      </c>
      <c r="D59" s="72" t="s">
        <v>111</v>
      </c>
      <c r="F59" s="74"/>
      <c r="G59" s="88">
        <f>(PI()/180)*G58</f>
        <v>-2.0441274983399396</v>
      </c>
      <c r="H59" s="72" t="s">
        <v>104</v>
      </c>
      <c r="J59" s="74"/>
      <c r="K59" s="88">
        <f>(PI()/180)*K58</f>
        <v>1.9605147810148119E-3</v>
      </c>
      <c r="L59" s="72" t="s">
        <v>104</v>
      </c>
      <c r="N59" s="74"/>
      <c r="O59" s="88">
        <f>(PI()/180)*O58</f>
        <v>2.0436857623253304</v>
      </c>
      <c r="P59" s="72" t="s">
        <v>104</v>
      </c>
    </row>
    <row r="60" spans="2:16">
      <c r="B60" s="74" t="s">
        <v>112</v>
      </c>
      <c r="C60" s="73">
        <f>(C59+4*$C51-60*$C52)/60</f>
        <v>-0.52576377164290189</v>
      </c>
      <c r="D60" s="72" t="s">
        <v>98</v>
      </c>
      <c r="F60" s="74" t="s">
        <v>108</v>
      </c>
      <c r="G60" s="88">
        <f>(180/PI())*G61</f>
        <v>23.444624815899129</v>
      </c>
      <c r="H60" s="72" t="s">
        <v>103</v>
      </c>
      <c r="J60" s="74" t="s">
        <v>108</v>
      </c>
      <c r="K60" s="88">
        <f>(180/PI())*K61</f>
        <v>23.448255455247779</v>
      </c>
      <c r="L60" s="72" t="s">
        <v>103</v>
      </c>
      <c r="N60" s="74" t="s">
        <v>108</v>
      </c>
      <c r="O60" s="88">
        <f>(180/PI())*O61</f>
        <v>23.451151478982233</v>
      </c>
      <c r="P60" s="72" t="s">
        <v>103</v>
      </c>
    </row>
    <row r="61" spans="2:16">
      <c r="B61" s="74"/>
      <c r="C61" s="73">
        <f>60*$C60</f>
        <v>-31.545826298574113</v>
      </c>
      <c r="D61" s="72" t="s">
        <v>111</v>
      </c>
      <c r="F61" s="68"/>
      <c r="G61" s="86">
        <f>0.006918-0.399912*COS(G52)+0.070257*SIN(G52)-0.006758*COS(2*G52)+0.000907*SIN(2*G52)-0.002697*COS(3*G52)+0.00148*SIN(3*G52)</f>
        <v>0.40918589493220919</v>
      </c>
      <c r="H61" s="67" t="s">
        <v>104</v>
      </c>
      <c r="J61" s="68"/>
      <c r="K61" s="86">
        <f>0.006918-0.399912*COS(K52)+0.070257*SIN(K52)-0.006758*COS(2*K52)+0.000907*SIN(2*K52)-0.002697*COS(3*K52)+0.00148*SIN(3*K52)</f>
        <v>0.40924926154279562</v>
      </c>
      <c r="L61" s="67" t="s">
        <v>104</v>
      </c>
      <c r="N61" s="68"/>
      <c r="O61" s="86">
        <f>0.006918-0.399912*COS(O52)+0.070257*SIN(O52)-0.006758*COS(2*O52)+0.000907*SIN(2*O52)-0.002697*COS(3*O52)+0.00148*SIN(3*O52)</f>
        <v>0.40929980669217775</v>
      </c>
      <c r="P61" s="67" t="s">
        <v>104</v>
      </c>
    </row>
    <row r="62" spans="2:16">
      <c r="B62" s="74" t="s">
        <v>110</v>
      </c>
      <c r="C62" s="73">
        <f>$C57+$C60</f>
        <v>11.474236228357098</v>
      </c>
      <c r="D62" s="72" t="s">
        <v>98</v>
      </c>
      <c r="F62" s="80" t="s">
        <v>107</v>
      </c>
      <c r="G62" s="85">
        <f>(180/PI())*ASIN(SIN(G61)*SIN($C50)+COS(G61)*COS($C50)*COS(G59))</f>
        <v>1.2112927514993111E-2</v>
      </c>
      <c r="H62" s="79"/>
      <c r="J62" s="80" t="s">
        <v>107</v>
      </c>
      <c r="K62" s="85">
        <f>(180/PI())*ASIN(SIN(K61)*SIN($C50)+COS(K61)*COS($C50)*COS(K59))</f>
        <v>66.998077339903944</v>
      </c>
      <c r="L62" s="79"/>
      <c r="N62" s="80" t="s">
        <v>107</v>
      </c>
      <c r="O62" s="85">
        <f>(180/PI())*ASIN(SIN(O61)*SIN($C50)+COS(O61)*COS($C50)*COS(O59))</f>
        <v>3.1508699712158063E-2</v>
      </c>
      <c r="P62" s="79"/>
    </row>
    <row r="63" spans="2:16">
      <c r="B63" s="74"/>
      <c r="C63" s="91">
        <f>TIME(INT($C62),ROUND(60*($C62-INT($C62)),0),0)</f>
        <v>0.4777777777777778</v>
      </c>
      <c r="D63" s="72" t="s">
        <v>97</v>
      </c>
      <c r="F63" s="68" t="s">
        <v>106</v>
      </c>
      <c r="G63" s="84">
        <f>IF(G59&lt;0,(180/PI())*ACOS((SIN(G61)*COS($C50)-COS(G61)*SIN($C50)*COS(G59))/COS((PI()/180)*G62)),360-(180/PI())*ACOS((SIN(G61)*COS($C50)-COS(G61)*SIN($C50)*COS(G59))/COS((PI()/180)*G62)))</f>
        <v>54.743520383644103</v>
      </c>
      <c r="H63" s="83"/>
      <c r="J63" s="68" t="s">
        <v>106</v>
      </c>
      <c r="K63" s="84">
        <f>IF(K59&lt;0,(180/PI())*ACOS((SIN(K61)*COS($C50)-COS(K61)*SIN($C50)*COS(K59))/COS((PI()/180)*K62)),360-(180/PI())*ACOS((SIN(K61)*COS($C50)-COS(K61)*SIN($C50)*COS(K59))/COS((PI()/180)*K62)))</f>
        <v>180.26372407755397</v>
      </c>
      <c r="L63" s="83"/>
      <c r="N63" s="68" t="s">
        <v>106</v>
      </c>
      <c r="O63" s="84">
        <f>IF(O59&lt;0,(180/PI())*ACOS((SIN(O61)*COS($C50)-COS(O61)*SIN($C50)*COS(O59))/COS((PI()/180)*O62)),360-(180/PI())*ACOS((SIN(O61)*COS($C50)-COS(O61)*SIN($C50)*COS(O59))/COS((PI()/180)*O62)))</f>
        <v>305.24214255659712</v>
      </c>
      <c r="P63" s="83"/>
    </row>
    <row r="64" spans="2:16">
      <c r="B64" s="74" t="s">
        <v>109</v>
      </c>
      <c r="C64" s="88">
        <f>(60*$C62/4)-180</f>
        <v>-7.8864565746435176</v>
      </c>
      <c r="D64" s="72" t="s">
        <v>103</v>
      </c>
    </row>
    <row r="65" spans="2:4">
      <c r="B65" s="74"/>
      <c r="C65" s="88">
        <f>(PI()/180)*$C64</f>
        <v>-0.13764463354308332</v>
      </c>
      <c r="D65" s="72" t="s">
        <v>104</v>
      </c>
    </row>
    <row r="66" spans="2:4">
      <c r="B66" s="74" t="s">
        <v>108</v>
      </c>
      <c r="C66" s="88">
        <f>(180/PI())*$C67</f>
        <v>23.448030914438</v>
      </c>
      <c r="D66" s="72" t="s">
        <v>103</v>
      </c>
    </row>
    <row r="67" spans="2:4">
      <c r="B67" s="74"/>
      <c r="C67" s="73">
        <f>0.006918-0.399912*COS($C58)+0.070257*SIN($C58)-0.006758*COS(2*$C58)+0.000907*SIN(2*$C58)-0.002697*COS(3*$C58)+0.00148*SIN(3*$C58)</f>
        <v>0.40924534256635992</v>
      </c>
      <c r="D67" s="72" t="s">
        <v>104</v>
      </c>
    </row>
    <row r="68" spans="2:4">
      <c r="B68" s="80" t="s">
        <v>126</v>
      </c>
      <c r="C68" s="77">
        <v>90</v>
      </c>
      <c r="D68" s="94" t="s">
        <v>103</v>
      </c>
    </row>
    <row r="69" spans="2:4">
      <c r="B69" s="74" t="s">
        <v>105</v>
      </c>
      <c r="C69" s="73">
        <f>ACOS((COS((PI()/180)*$C68)/(COS($C50)*COS($C67)))-TAN($C50)*TAN($C67))</f>
        <v>2.0445867949424978</v>
      </c>
      <c r="D69" s="72" t="s">
        <v>104</v>
      </c>
    </row>
    <row r="70" spans="2:4">
      <c r="B70" s="74"/>
      <c r="C70" s="73">
        <f>(180/PI())*$C69</f>
        <v>117.14619419838502</v>
      </c>
      <c r="D70" s="72" t="s">
        <v>103</v>
      </c>
    </row>
    <row r="71" spans="2:4">
      <c r="B71" s="74" t="s">
        <v>102</v>
      </c>
      <c r="C71" s="73">
        <f>(720-4*($C51+$C70)-$C59)/60+$C52</f>
        <v>4.7160174917505673</v>
      </c>
      <c r="D71" s="72" t="s">
        <v>98</v>
      </c>
    </row>
    <row r="72" spans="2:4">
      <c r="B72" s="74"/>
      <c r="C72" s="75">
        <f>TIME(INT($C71),ROUND(60*($C71-INT($C71)),0),0)</f>
        <v>0.19652777777777777</v>
      </c>
      <c r="D72" s="72" t="s">
        <v>97</v>
      </c>
    </row>
    <row r="73" spans="2:4">
      <c r="B73" s="74" t="s">
        <v>101</v>
      </c>
      <c r="C73" s="73">
        <f>(720-4*($C51-$C70)-$C59)/60+$C52</f>
        <v>20.335510051535234</v>
      </c>
      <c r="D73" s="72" t="s">
        <v>98</v>
      </c>
    </row>
    <row r="74" spans="2:4">
      <c r="B74" s="74"/>
      <c r="C74" s="75">
        <f>TIME(INT($C73),ROUND(60*($C73-INT($C73)),0),0)</f>
        <v>0.84722222222222221</v>
      </c>
      <c r="D74" s="72" t="s">
        <v>97</v>
      </c>
    </row>
    <row r="75" spans="2:4">
      <c r="B75" s="74" t="s">
        <v>100</v>
      </c>
      <c r="C75" s="73">
        <f>(720-4*$C51-$C59)/60+$C52</f>
        <v>12.525763771642904</v>
      </c>
      <c r="D75" s="72" t="s">
        <v>98</v>
      </c>
    </row>
    <row r="76" spans="2:4">
      <c r="B76" s="74"/>
      <c r="C76" s="75">
        <f>TIME(INT($C75),ROUND(60*($C75-INT($C75)),0),0)</f>
        <v>0.52222222222222225</v>
      </c>
      <c r="D76" s="72" t="s">
        <v>97</v>
      </c>
    </row>
    <row r="77" spans="2:4">
      <c r="B77" s="74" t="s">
        <v>99</v>
      </c>
      <c r="C77" s="73">
        <f>$C73-$C71</f>
        <v>15.619492559784668</v>
      </c>
      <c r="D77" s="72" t="s">
        <v>98</v>
      </c>
    </row>
    <row r="78" spans="2:4">
      <c r="B78" s="68"/>
      <c r="C78" s="64">
        <f>TIME(INT($C77),ROUND(60*($C77-INT($C77)),0),0)</f>
        <v>0.65069444444444446</v>
      </c>
      <c r="D78" s="67" t="s">
        <v>97</v>
      </c>
    </row>
    <row r="81" spans="2:16">
      <c r="B81" s="124" t="s">
        <v>125</v>
      </c>
    </row>
    <row r="83" spans="2:16">
      <c r="B83" s="123" t="s">
        <v>124</v>
      </c>
      <c r="C83" s="122" t="s">
        <v>6</v>
      </c>
      <c r="D83" s="121" t="s">
        <v>107</v>
      </c>
      <c r="E83" s="120" t="s">
        <v>106</v>
      </c>
    </row>
    <row r="84" spans="2:16">
      <c r="B84" s="119" t="str">
        <f>B71</f>
        <v>sunrise</v>
      </c>
      <c r="C84" s="118">
        <f>C72</f>
        <v>0.19652777777777777</v>
      </c>
      <c r="D84" s="117">
        <f>G62</f>
        <v>1.2112927514993111E-2</v>
      </c>
      <c r="E84" s="113">
        <f>G63</f>
        <v>54.743520383644103</v>
      </c>
    </row>
    <row r="85" spans="2:16">
      <c r="B85" s="116" t="str">
        <f>B75</f>
        <v>noon</v>
      </c>
      <c r="C85" s="115">
        <f>C76</f>
        <v>0.52222222222222225</v>
      </c>
      <c r="D85" s="114">
        <f>K62</f>
        <v>66.998077339903944</v>
      </c>
      <c r="E85" s="113">
        <f>K63</f>
        <v>180.26372407755397</v>
      </c>
    </row>
    <row r="86" spans="2:16">
      <c r="B86" s="112" t="str">
        <f>B73</f>
        <v>sunset</v>
      </c>
      <c r="C86" s="111">
        <f>C74</f>
        <v>0.84722222222222221</v>
      </c>
      <c r="D86" s="110">
        <f>O62</f>
        <v>3.1508699712158063E-2</v>
      </c>
      <c r="E86" s="109">
        <f>O63</f>
        <v>305.24214255659712</v>
      </c>
    </row>
    <row r="89" spans="2:16" ht="21">
      <c r="B89" s="108" t="s">
        <v>134</v>
      </c>
    </row>
    <row r="91" spans="2:16">
      <c r="B91" s="80"/>
      <c r="C91" s="107" t="s">
        <v>120</v>
      </c>
      <c r="D91" s="79"/>
      <c r="F91" s="124" t="s">
        <v>132</v>
      </c>
      <c r="J91" s="124" t="s">
        <v>131</v>
      </c>
      <c r="N91" s="124" t="s">
        <v>130</v>
      </c>
    </row>
    <row r="92" spans="2:16">
      <c r="B92" s="74" t="s">
        <v>119</v>
      </c>
      <c r="C92" s="105">
        <v>46.45</v>
      </c>
      <c r="D92" s="72" t="s">
        <v>103</v>
      </c>
    </row>
    <row r="93" spans="2:16">
      <c r="B93" s="74"/>
      <c r="C93" s="88">
        <f>(PI()/180)*C92</f>
        <v>0.81070543755136615</v>
      </c>
      <c r="D93" s="72" t="s">
        <v>104</v>
      </c>
      <c r="F93" s="80" t="s">
        <v>6</v>
      </c>
      <c r="G93" s="125">
        <f>C115</f>
        <v>0.26458333333333334</v>
      </c>
      <c r="H93" s="94" t="s">
        <v>97</v>
      </c>
      <c r="J93" s="80" t="s">
        <v>6</v>
      </c>
      <c r="K93" s="125">
        <f>C119</f>
        <v>0.51597222222222228</v>
      </c>
      <c r="L93" s="94" t="s">
        <v>97</v>
      </c>
      <c r="N93" s="80" t="s">
        <v>6</v>
      </c>
      <c r="O93" s="125">
        <f>C117</f>
        <v>0.76736111111111116</v>
      </c>
      <c r="P93" s="94" t="s">
        <v>97</v>
      </c>
    </row>
    <row r="94" spans="2:16">
      <c r="B94" s="74" t="s">
        <v>118</v>
      </c>
      <c r="C94" s="105">
        <v>7.42</v>
      </c>
      <c r="D94" s="72" t="s">
        <v>103</v>
      </c>
      <c r="E94" s="66"/>
      <c r="F94" s="74"/>
      <c r="G94" s="73">
        <f>HOUR(G93)+MINUTE(G93)/60</f>
        <v>6.35</v>
      </c>
      <c r="H94" s="72" t="s">
        <v>98</v>
      </c>
      <c r="J94" s="74"/>
      <c r="K94" s="73">
        <f>HOUR(K93)+MINUTE(K93)/60</f>
        <v>12.383333333333333</v>
      </c>
      <c r="L94" s="72" t="s">
        <v>98</v>
      </c>
      <c r="N94" s="74"/>
      <c r="O94" s="73">
        <f>HOUR(O93)+MINUTE(O93)/60</f>
        <v>18.416666666666668</v>
      </c>
      <c r="P94" s="72" t="s">
        <v>98</v>
      </c>
    </row>
    <row r="95" spans="2:16">
      <c r="B95" s="74" t="s">
        <v>117</v>
      </c>
      <c r="C95" s="104">
        <v>1</v>
      </c>
      <c r="D95" s="72" t="s">
        <v>127</v>
      </c>
      <c r="F95" s="68" t="s">
        <v>116</v>
      </c>
      <c r="G95" s="86">
        <f>2*PI()*($C98-1+((G94-12)/24))/IF($C97="Y",366,365)</f>
        <v>4.5452593985287573</v>
      </c>
      <c r="H95" s="67" t="s">
        <v>104</v>
      </c>
      <c r="J95" s="68" t="s">
        <v>116</v>
      </c>
      <c r="K95" s="86">
        <f>2*PI()*($C98-1+((K94-12)/24))/IF($C97="Y",366,365)</f>
        <v>4.5495750350671589</v>
      </c>
      <c r="L95" s="67" t="s">
        <v>104</v>
      </c>
      <c r="N95" s="68" t="s">
        <v>116</v>
      </c>
      <c r="O95" s="86">
        <f>2*PI()*($C98-1+((O94-12)/24))/IF($C97="Y",366,365)</f>
        <v>4.5538906716055596</v>
      </c>
      <c r="P95" s="67" t="s">
        <v>104</v>
      </c>
    </row>
    <row r="96" spans="2:16">
      <c r="B96" s="74" t="s">
        <v>5</v>
      </c>
      <c r="C96" s="103">
        <v>45557</v>
      </c>
      <c r="D96" s="72" t="s">
        <v>129</v>
      </c>
      <c r="F96" s="74" t="s">
        <v>114</v>
      </c>
      <c r="G96" s="73">
        <f>229.18*(0.000075+0.001868*COS(G95)-0.032077*SIN(G95)-0.014615*COS(2*G95)-0.040849*SIN(2*G95))</f>
        <v>7.2877194720146434</v>
      </c>
      <c r="H96" s="72" t="s">
        <v>111</v>
      </c>
      <c r="I96" s="89"/>
      <c r="J96" s="74" t="s">
        <v>114</v>
      </c>
      <c r="K96" s="73">
        <f>229.18*(0.000075+0.001868*COS(K95)-0.032077*SIN(K95)-0.014615*COS(2*K95)-0.040849*SIN(2*K95))</f>
        <v>7.3805639592173593</v>
      </c>
      <c r="L96" s="72" t="s">
        <v>111</v>
      </c>
      <c r="N96" s="74" t="s">
        <v>114</v>
      </c>
      <c r="O96" s="73">
        <f>229.18*(0.000075+0.001868*COS(O95)-0.032077*SIN(O95)-0.014615*COS(2*O95)-0.040849*SIN(2*O95))</f>
        <v>7.4732613276303406</v>
      </c>
      <c r="P96" s="72" t="s">
        <v>111</v>
      </c>
    </row>
    <row r="97" spans="2:16">
      <c r="B97" s="74" t="s">
        <v>90</v>
      </c>
      <c r="C97" s="102" t="str">
        <f>IF(OR(MOD(YEAR(C96),400)=0,AND(MOD(YEAR(C96),4)=0,MOD(YEAR(C96),100)&lt;&gt;9)),"Y", "N")</f>
        <v>Y</v>
      </c>
      <c r="D97" s="72" t="s">
        <v>128</v>
      </c>
      <c r="F97" s="74" t="s">
        <v>112</v>
      </c>
      <c r="G97" s="73">
        <f>(G96+4*$C94-60*$C95)/60</f>
        <v>-0.38387134213308927</v>
      </c>
      <c r="H97" s="72" t="s">
        <v>98</v>
      </c>
      <c r="J97" s="74" t="s">
        <v>112</v>
      </c>
      <c r="K97" s="73">
        <f>(K96+4*$C94-60*$C95)/60</f>
        <v>-0.38232393401304399</v>
      </c>
      <c r="L97" s="72" t="s">
        <v>98</v>
      </c>
      <c r="N97" s="74" t="s">
        <v>112</v>
      </c>
      <c r="O97" s="73">
        <f>(O96+4*$C94-60*$C95)/60</f>
        <v>-0.38077897787282766</v>
      </c>
      <c r="P97" s="72" t="s">
        <v>98</v>
      </c>
    </row>
    <row r="98" spans="2:16">
      <c r="B98" s="74" t="s">
        <v>91</v>
      </c>
      <c r="C98" s="100">
        <f>INT(275*MONTH(C96)/9)-IF(C97="Y",1,2)*INT((MONTH(C96)+9)/12)+DAY(C96)-30</f>
        <v>266</v>
      </c>
      <c r="D98" s="72" t="s">
        <v>127</v>
      </c>
      <c r="F98" s="74"/>
      <c r="G98" s="73">
        <f>60*G97</f>
        <v>-23.032280527985357</v>
      </c>
      <c r="H98" s="72" t="s">
        <v>111</v>
      </c>
      <c r="J98" s="74"/>
      <c r="K98" s="73">
        <f>60*K97</f>
        <v>-22.939436040782638</v>
      </c>
      <c r="L98" s="72" t="s">
        <v>111</v>
      </c>
      <c r="N98" s="74"/>
      <c r="O98" s="73">
        <f>60*O97</f>
        <v>-22.846738672369661</v>
      </c>
      <c r="P98" s="72" t="s">
        <v>111</v>
      </c>
    </row>
    <row r="99" spans="2:16">
      <c r="B99" s="74" t="s">
        <v>6</v>
      </c>
      <c r="C99" s="96">
        <v>0.5</v>
      </c>
      <c r="D99" s="72" t="s">
        <v>97</v>
      </c>
      <c r="F99" s="74" t="s">
        <v>110</v>
      </c>
      <c r="G99" s="73">
        <f>G94+G97</f>
        <v>5.9661286578669106</v>
      </c>
      <c r="H99" s="72" t="s">
        <v>98</v>
      </c>
      <c r="J99" s="74" t="s">
        <v>110</v>
      </c>
      <c r="K99" s="73">
        <f>K94+K97</f>
        <v>12.001009399320289</v>
      </c>
      <c r="L99" s="72" t="s">
        <v>98</v>
      </c>
      <c r="N99" s="74" t="s">
        <v>110</v>
      </c>
      <c r="O99" s="73">
        <f>O94+O97</f>
        <v>18.035887688793839</v>
      </c>
      <c r="P99" s="72" t="s">
        <v>98</v>
      </c>
    </row>
    <row r="100" spans="2:16">
      <c r="B100" s="74"/>
      <c r="C100" s="73">
        <f>HOUR(C99)+MINUTE(C99)/60</f>
        <v>12</v>
      </c>
      <c r="D100" s="72" t="s">
        <v>98</v>
      </c>
      <c r="F100" s="74"/>
      <c r="G100" s="91">
        <f>TIME(INT(G99),ROUND(60*(G99-INT(G99)),0),0)</f>
        <v>0.24861111111111112</v>
      </c>
      <c r="H100" s="72" t="s">
        <v>97</v>
      </c>
      <c r="J100" s="74"/>
      <c r="K100" s="91">
        <f>TIME(INT(K99),ROUND(60*(K99-INT(K99)),0),0)</f>
        <v>0.5</v>
      </c>
      <c r="L100" s="72" t="s">
        <v>97</v>
      </c>
      <c r="N100" s="74"/>
      <c r="O100" s="91">
        <f>TIME(INT(O99),ROUND(60*(O99-INT(O99)),0),0)</f>
        <v>0.75138888888888888</v>
      </c>
      <c r="P100" s="72" t="s">
        <v>97</v>
      </c>
    </row>
    <row r="101" spans="2:16">
      <c r="B101" s="68" t="s">
        <v>116</v>
      </c>
      <c r="C101" s="86">
        <f>2*PI()*($C98-1+((C100-12)/24))/IF($C97="Y",366,365)</f>
        <v>4.5493008371655472</v>
      </c>
      <c r="D101" s="67" t="s">
        <v>104</v>
      </c>
      <c r="F101" s="74" t="s">
        <v>109</v>
      </c>
      <c r="G101" s="88">
        <f>(60*G99/4)-180</f>
        <v>-90.508070131996334</v>
      </c>
      <c r="H101" s="72" t="s">
        <v>103</v>
      </c>
      <c r="J101" s="74" t="s">
        <v>109</v>
      </c>
      <c r="K101" s="88">
        <f>(60*K99/4)-180</f>
        <v>1.5140989804336868E-2</v>
      </c>
      <c r="L101" s="72" t="s">
        <v>103</v>
      </c>
      <c r="N101" s="74" t="s">
        <v>109</v>
      </c>
      <c r="O101" s="88">
        <f>(60*O99/4)-180</f>
        <v>90.538315331907597</v>
      </c>
      <c r="P101" s="72" t="s">
        <v>103</v>
      </c>
    </row>
    <row r="102" spans="2:16">
      <c r="B102" s="74" t="s">
        <v>114</v>
      </c>
      <c r="C102" s="73">
        <f>229.18*(0.000075+0.001868*COS($C101)-0.032077*SIN($C101)-0.014615*COS(2*$C101)-0.040849*SIN(2*$C101))</f>
        <v>7.3746693080162187</v>
      </c>
      <c r="D102" s="72" t="s">
        <v>111</v>
      </c>
      <c r="F102" s="74"/>
      <c r="G102" s="88">
        <f>(PI()/180)*G101</f>
        <v>-1.5796638234292748</v>
      </c>
      <c r="H102" s="72" t="s">
        <v>104</v>
      </c>
      <c r="J102" s="74"/>
      <c r="K102" s="88">
        <f>(PI()/180)*K101</f>
        <v>2.6426012409657036E-4</v>
      </c>
      <c r="L102" s="72" t="s">
        <v>104</v>
      </c>
      <c r="N102" s="74"/>
      <c r="O102" s="88">
        <f>(PI()/180)*O101</f>
        <v>1.5801917017506502</v>
      </c>
      <c r="P102" s="72" t="s">
        <v>104</v>
      </c>
    </row>
    <row r="103" spans="2:16">
      <c r="B103" s="74" t="s">
        <v>112</v>
      </c>
      <c r="C103" s="73">
        <f>(C102+4*$C94-60*$C95)/60</f>
        <v>-0.38242217819972973</v>
      </c>
      <c r="D103" s="72" t="s">
        <v>98</v>
      </c>
      <c r="F103" s="74" t="s">
        <v>108</v>
      </c>
      <c r="G103" s="88">
        <f>(180/PI())*G104</f>
        <v>0.62162553701128898</v>
      </c>
      <c r="H103" s="72" t="s">
        <v>103</v>
      </c>
      <c r="J103" s="74" t="s">
        <v>108</v>
      </c>
      <c r="K103" s="88">
        <f>(180/PI())*K104</f>
        <v>0.52417033573797334</v>
      </c>
      <c r="L103" s="72" t="s">
        <v>103</v>
      </c>
      <c r="N103" s="74" t="s">
        <v>108</v>
      </c>
      <c r="O103" s="88">
        <f>(180/PI())*O104</f>
        <v>0.42669097455943383</v>
      </c>
      <c r="P103" s="72" t="s">
        <v>103</v>
      </c>
    </row>
    <row r="104" spans="2:16">
      <c r="B104" s="74"/>
      <c r="C104" s="73">
        <f>60*$C103</f>
        <v>-22.945330691983784</v>
      </c>
      <c r="D104" s="72" t="s">
        <v>111</v>
      </c>
      <c r="F104" s="68"/>
      <c r="G104" s="86">
        <f>0.006918-0.399912*COS(G95)+0.070257*SIN(G95)-0.006758*COS(2*G95)+0.000907*SIN(2*G95)-0.002697*COS(3*G95)+0.00148*SIN(3*G95)</f>
        <v>1.0849412335324864E-2</v>
      </c>
      <c r="H104" s="67" t="s">
        <v>104</v>
      </c>
      <c r="J104" s="68"/>
      <c r="K104" s="86">
        <f>0.006918-0.399912*COS(K95)+0.070257*SIN(K95)-0.006758*COS(2*K95)+0.000907*SIN(2*K95)-0.002697*COS(3*K95)+0.00148*SIN(3*K95)</f>
        <v>9.1484981999117362E-3</v>
      </c>
      <c r="L104" s="67" t="s">
        <v>104</v>
      </c>
      <c r="N104" s="68"/>
      <c r="O104" s="86">
        <f>0.006918-0.399912*COS(O95)+0.070257*SIN(O95)-0.006758*COS(2*O95)+0.000907*SIN(2*O95)-0.002697*COS(3*O95)+0.00148*SIN(3*O95)</f>
        <v>7.4471623946054813E-3</v>
      </c>
      <c r="P104" s="67" t="s">
        <v>104</v>
      </c>
    </row>
    <row r="105" spans="2:16">
      <c r="B105" s="74" t="s">
        <v>110</v>
      </c>
      <c r="C105" s="73">
        <f>$C100+$C103</f>
        <v>11.617577821800269</v>
      </c>
      <c r="D105" s="72" t="s">
        <v>98</v>
      </c>
      <c r="F105" s="80" t="s">
        <v>107</v>
      </c>
      <c r="G105" s="85">
        <f>(180/PI())*ASIN(SIN(G104)*SIN($C93)+COS(G104)*COS($C93)*COS(G102))</f>
        <v>0.10050017176994863</v>
      </c>
      <c r="H105" s="79"/>
      <c r="J105" s="80" t="s">
        <v>107</v>
      </c>
      <c r="K105" s="85">
        <f>(180/PI())*ASIN(SIN(K104)*SIN($C93)+COS(K104)*COS($C93)*COS(K102))</f>
        <v>44.074168417252672</v>
      </c>
      <c r="L105" s="79"/>
      <c r="N105" s="80" t="s">
        <v>107</v>
      </c>
      <c r="O105" s="85">
        <f>(180/PI())*ASIN(SIN(O104)*SIN($C93)+COS(O104)*COS($C93)*COS(O102))</f>
        <v>-6.1625303027414723E-2</v>
      </c>
      <c r="P105" s="79"/>
    </row>
    <row r="106" spans="2:16">
      <c r="B106" s="74"/>
      <c r="C106" s="91">
        <f>TIME(INT($C105),ROUND(60*($C105-INT($C105)),0),0)</f>
        <v>0.48402777777777778</v>
      </c>
      <c r="D106" s="72" t="s">
        <v>97</v>
      </c>
      <c r="F106" s="68" t="s">
        <v>106</v>
      </c>
      <c r="G106" s="84">
        <f>IF(G102&lt;0,(180/PI())*ACOS((SIN(G104)*COS($C93)-COS(G104)*SIN($C93)*COS(G102))/COS((PI()/180)*G105)),360-(180/PI())*ACOS((SIN(G104)*COS($C93)-COS(G104)*SIN($C93)*COS(G102))/COS((PI()/180)*G105)))</f>
        <v>89.203480191730762</v>
      </c>
      <c r="H106" s="83"/>
      <c r="J106" s="68" t="s">
        <v>106</v>
      </c>
      <c r="K106" s="84">
        <f>IF(K102&lt;0,(180/PI())*ACOS((SIN(K104)*COS($C93)-COS(K104)*SIN($C93)*COS(K102))/COS((PI()/180)*K105)),360-(180/PI())*ACOS((SIN(K104)*COS($C93)-COS(K104)*SIN($C93)*COS(K102))/COS((PI()/180)*K105)))</f>
        <v>180.02107393364383</v>
      </c>
      <c r="L106" s="83"/>
      <c r="N106" s="68" t="s">
        <v>106</v>
      </c>
      <c r="O106" s="84">
        <f>IF(O102&lt;0,(180/PI())*ACOS((SIN(O104)*COS($C93)-COS(O104)*SIN($C93)*COS(O102))/COS((PI()/180)*O105)),360-(180/PI())*ACOS((SIN(O104)*COS($C93)-COS(O104)*SIN($C93)*COS(O102))/COS((PI()/180)*O105)))</f>
        <v>270.68413867720506</v>
      </c>
      <c r="P106" s="83"/>
    </row>
    <row r="107" spans="2:16">
      <c r="B107" s="74" t="s">
        <v>109</v>
      </c>
      <c r="C107" s="88">
        <f>(60*$C105/4)-180</f>
        <v>-5.7363326729959567</v>
      </c>
      <c r="D107" s="72" t="s">
        <v>103</v>
      </c>
    </row>
    <row r="108" spans="2:16">
      <c r="B108" s="74"/>
      <c r="C108" s="88">
        <f>(PI()/180)*$C107</f>
        <v>-0.10011789213350666</v>
      </c>
      <c r="D108" s="72" t="s">
        <v>104</v>
      </c>
    </row>
    <row r="109" spans="2:16">
      <c r="B109" s="74" t="s">
        <v>108</v>
      </c>
      <c r="C109" s="88">
        <f>(180/PI())*$C110</f>
        <v>0.53036297471710814</v>
      </c>
      <c r="D109" s="72" t="s">
        <v>103</v>
      </c>
    </row>
    <row r="110" spans="2:16">
      <c r="B110" s="74"/>
      <c r="C110" s="73">
        <f>0.006918-0.399912*COS($C101)+0.070257*SIN($C101)-0.006758*COS(2*$C101)+0.000907*SIN(2*$C101)-0.002697*COS(3*$C101)+0.00148*SIN(3*$C101)</f>
        <v>9.2565801394849778E-3</v>
      </c>
      <c r="D110" s="72" t="s">
        <v>104</v>
      </c>
    </row>
    <row r="111" spans="2:16">
      <c r="B111" s="80" t="s">
        <v>126</v>
      </c>
      <c r="C111" s="77">
        <v>90</v>
      </c>
      <c r="D111" s="94" t="s">
        <v>103</v>
      </c>
    </row>
    <row r="112" spans="2:16">
      <c r="B112" s="74" t="s">
        <v>105</v>
      </c>
      <c r="C112" s="73">
        <f>ACOS((COS((PI()/180)*$C111)/(COS($C93)*COS($C110)))-TAN($C93)*TAN($C110))</f>
        <v>1.5805341266481614</v>
      </c>
      <c r="D112" s="72" t="s">
        <v>104</v>
      </c>
    </row>
    <row r="113" spans="2:5">
      <c r="B113" s="74"/>
      <c r="C113" s="73">
        <f>(180/PI())*$C112</f>
        <v>90.557934833335182</v>
      </c>
      <c r="D113" s="72" t="s">
        <v>103</v>
      </c>
    </row>
    <row r="114" spans="2:5">
      <c r="B114" s="74" t="s">
        <v>102</v>
      </c>
      <c r="C114" s="73">
        <f>(720-4*($C94+$C113)-$C102)/60+$C95</f>
        <v>6.345226522644051</v>
      </c>
      <c r="D114" s="72" t="s">
        <v>98</v>
      </c>
    </row>
    <row r="115" spans="2:5">
      <c r="B115" s="74"/>
      <c r="C115" s="75">
        <f>TIME(INT($C114),ROUND(60*($C114-INT($C114)),0),0)</f>
        <v>0.26458333333333334</v>
      </c>
      <c r="D115" s="72" t="s">
        <v>97</v>
      </c>
    </row>
    <row r="116" spans="2:5">
      <c r="B116" s="74" t="s">
        <v>101</v>
      </c>
      <c r="C116" s="73">
        <f>(720-4*($C94-$C113)-$C102)/60+$C95</f>
        <v>18.41961783375541</v>
      </c>
      <c r="D116" s="72" t="s">
        <v>98</v>
      </c>
    </row>
    <row r="117" spans="2:5">
      <c r="B117" s="74"/>
      <c r="C117" s="75">
        <f>TIME(INT($C116),ROUND(60*($C116-INT($C116)),0),0)</f>
        <v>0.76736111111111116</v>
      </c>
      <c r="D117" s="72" t="s">
        <v>97</v>
      </c>
    </row>
    <row r="118" spans="2:5">
      <c r="B118" s="74" t="s">
        <v>100</v>
      </c>
      <c r="C118" s="73">
        <f>(720-4*$C94-$C102)/60+$C95</f>
        <v>12.382422178199731</v>
      </c>
      <c r="D118" s="72" t="s">
        <v>98</v>
      </c>
    </row>
    <row r="119" spans="2:5">
      <c r="B119" s="74"/>
      <c r="C119" s="75">
        <f>TIME(INT($C118),ROUND(60*($C118-INT($C118)),0),0)</f>
        <v>0.51597222222222228</v>
      </c>
      <c r="D119" s="72" t="s">
        <v>97</v>
      </c>
    </row>
    <row r="120" spans="2:5">
      <c r="B120" s="74" t="s">
        <v>99</v>
      </c>
      <c r="C120" s="73">
        <f>$C116-$C114</f>
        <v>12.074391311111359</v>
      </c>
      <c r="D120" s="72" t="s">
        <v>98</v>
      </c>
    </row>
    <row r="121" spans="2:5">
      <c r="B121" s="68"/>
      <c r="C121" s="64">
        <f>TIME(INT($C120),ROUND(60*($C120-INT($C120)),0),0)</f>
        <v>0.50277777777777777</v>
      </c>
      <c r="D121" s="67" t="s">
        <v>97</v>
      </c>
    </row>
    <row r="124" spans="2:5">
      <c r="B124" s="124" t="s">
        <v>125</v>
      </c>
    </row>
    <row r="126" spans="2:5">
      <c r="B126" s="123" t="s">
        <v>124</v>
      </c>
      <c r="C126" s="122" t="s">
        <v>6</v>
      </c>
      <c r="D126" s="121" t="s">
        <v>107</v>
      </c>
      <c r="E126" s="120" t="s">
        <v>106</v>
      </c>
    </row>
    <row r="127" spans="2:5">
      <c r="B127" s="119" t="str">
        <f>B114</f>
        <v>sunrise</v>
      </c>
      <c r="C127" s="118">
        <f>C115</f>
        <v>0.26458333333333334</v>
      </c>
      <c r="D127" s="117">
        <f>G105</f>
        <v>0.10050017176994863</v>
      </c>
      <c r="E127" s="113">
        <f>G106</f>
        <v>89.203480191730762</v>
      </c>
    </row>
    <row r="128" spans="2:5">
      <c r="B128" s="116" t="str">
        <f>B118</f>
        <v>noon</v>
      </c>
      <c r="C128" s="115">
        <f>C119</f>
        <v>0.51597222222222228</v>
      </c>
      <c r="D128" s="114">
        <f>K105</f>
        <v>44.074168417252672</v>
      </c>
      <c r="E128" s="113">
        <f>K106</f>
        <v>180.02107393364383</v>
      </c>
    </row>
    <row r="129" spans="2:16">
      <c r="B129" s="112" t="str">
        <f>B116</f>
        <v>sunset</v>
      </c>
      <c r="C129" s="111">
        <f>C117</f>
        <v>0.76736111111111116</v>
      </c>
      <c r="D129" s="110">
        <f>O105</f>
        <v>-6.1625303027414723E-2</v>
      </c>
      <c r="E129" s="109">
        <f>O106</f>
        <v>270.68413867720506</v>
      </c>
    </row>
    <row r="132" spans="2:16" ht="21">
      <c r="B132" s="108" t="s">
        <v>133</v>
      </c>
    </row>
    <row r="134" spans="2:16">
      <c r="B134" s="80"/>
      <c r="C134" s="107" t="s">
        <v>120</v>
      </c>
      <c r="D134" s="79"/>
      <c r="F134" s="124" t="s">
        <v>132</v>
      </c>
      <c r="J134" s="124" t="s">
        <v>131</v>
      </c>
      <c r="N134" s="124" t="s">
        <v>130</v>
      </c>
    </row>
    <row r="135" spans="2:16">
      <c r="B135" s="74" t="s">
        <v>119</v>
      </c>
      <c r="C135" s="105">
        <v>46.45</v>
      </c>
      <c r="D135" s="72" t="s">
        <v>103</v>
      </c>
    </row>
    <row r="136" spans="2:16">
      <c r="B136" s="74"/>
      <c r="C136" s="88">
        <f>(PI()/180)*C135</f>
        <v>0.81070543755136615</v>
      </c>
      <c r="D136" s="72" t="s">
        <v>104</v>
      </c>
      <c r="F136" s="80" t="s">
        <v>6</v>
      </c>
      <c r="G136" s="125">
        <f>C158</f>
        <v>0.34513888888888888</v>
      </c>
      <c r="H136" s="94" t="s">
        <v>97</v>
      </c>
      <c r="J136" s="80" t="s">
        <v>6</v>
      </c>
      <c r="K136" s="125">
        <f>C162</f>
        <v>0.51944444444444449</v>
      </c>
      <c r="L136" s="94" t="s">
        <v>97</v>
      </c>
      <c r="N136" s="80" t="s">
        <v>6</v>
      </c>
      <c r="O136" s="125">
        <f>C160</f>
        <v>0.69444444444444442</v>
      </c>
      <c r="P136" s="94" t="s">
        <v>97</v>
      </c>
    </row>
    <row r="137" spans="2:16">
      <c r="B137" s="74" t="s">
        <v>118</v>
      </c>
      <c r="C137" s="105">
        <v>7.42</v>
      </c>
      <c r="D137" s="72" t="s">
        <v>103</v>
      </c>
      <c r="E137" s="66"/>
      <c r="F137" s="74"/>
      <c r="G137" s="73">
        <f>HOUR(G136)+MINUTE(G136)/60</f>
        <v>8.2833333333333332</v>
      </c>
      <c r="H137" s="72" t="s">
        <v>98</v>
      </c>
      <c r="J137" s="74"/>
      <c r="K137" s="73">
        <f>HOUR(K136)+MINUTE(K136)/60</f>
        <v>12.466666666666667</v>
      </c>
      <c r="L137" s="72" t="s">
        <v>98</v>
      </c>
      <c r="N137" s="74"/>
      <c r="O137" s="73">
        <f>HOUR(O136)+MINUTE(O136)/60</f>
        <v>16.666666666666668</v>
      </c>
      <c r="P137" s="72" t="s">
        <v>98</v>
      </c>
    </row>
    <row r="138" spans="2:16">
      <c r="B138" s="74" t="s">
        <v>117</v>
      </c>
      <c r="C138" s="104">
        <v>1</v>
      </c>
      <c r="D138" s="72" t="s">
        <v>127</v>
      </c>
      <c r="F138" s="68" t="s">
        <v>116</v>
      </c>
      <c r="G138" s="86">
        <f>2*PI()*($C141-1+((G137-12)/24))/IF($C140="Y",366,365)</f>
        <v>6.0916878770239515</v>
      </c>
      <c r="H138" s="67" t="s">
        <v>104</v>
      </c>
      <c r="J138" s="68" t="s">
        <v>116</v>
      </c>
      <c r="K138" s="86">
        <f>2*PI()*($C141-1+((K137-12)/24))/IF($C140="Y",366,365)</f>
        <v>6.0946802106458815</v>
      </c>
      <c r="L138" s="67" t="s">
        <v>104</v>
      </c>
      <c r="N138" s="68" t="s">
        <v>116</v>
      </c>
      <c r="O138" s="86">
        <f>2*PI()*($C141-1+((O137-12)/24))/IF($C140="Y",366,365)</f>
        <v>6.0976844659157088</v>
      </c>
      <c r="P138" s="67" t="s">
        <v>104</v>
      </c>
    </row>
    <row r="139" spans="2:16">
      <c r="B139" s="74" t="s">
        <v>5</v>
      </c>
      <c r="C139" s="103">
        <v>45647</v>
      </c>
      <c r="D139" s="72" t="s">
        <v>129</v>
      </c>
      <c r="F139" s="74" t="s">
        <v>114</v>
      </c>
      <c r="G139" s="73">
        <f>229.18*(0.000075+0.001868*COS(G138)-0.032077*SIN(G138)-0.014615*COS(2*G138)-0.040849*SIN(2*G138))</f>
        <v>2.2283576555364695</v>
      </c>
      <c r="H139" s="72" t="s">
        <v>111</v>
      </c>
      <c r="I139" s="89"/>
      <c r="J139" s="74" t="s">
        <v>114</v>
      </c>
      <c r="K139" s="73">
        <f>229.18*(0.000075+0.001868*COS(K138)-0.032077*SIN(K138)-0.014615*COS(2*K138)-0.040849*SIN(2*K138))</f>
        <v>2.1475320567053893</v>
      </c>
      <c r="L139" s="72" t="s">
        <v>111</v>
      </c>
      <c r="N139" s="74" t="s">
        <v>114</v>
      </c>
      <c r="O139" s="73">
        <f>229.18*(0.000075+0.001868*COS(O138)-0.032077*SIN(O138)-0.014615*COS(2*O138)-0.040849*SIN(2*O138))</f>
        <v>2.0663562793816643</v>
      </c>
      <c r="P139" s="72" t="s">
        <v>111</v>
      </c>
    </row>
    <row r="140" spans="2:16">
      <c r="B140" s="74" t="s">
        <v>90</v>
      </c>
      <c r="C140" s="102" t="str">
        <f>IF(OR(MOD(YEAR(C139),400)=0,AND(MOD(YEAR(C139),4)=0,MOD(YEAR(C139),100)&lt;&gt;9)),"Y", "N")</f>
        <v>Y</v>
      </c>
      <c r="D140" s="72" t="s">
        <v>128</v>
      </c>
      <c r="F140" s="74" t="s">
        <v>112</v>
      </c>
      <c r="G140" s="73">
        <f>(G139+4*$C137-60*$C138)/60</f>
        <v>-0.46819403907439217</v>
      </c>
      <c r="H140" s="72" t="s">
        <v>98</v>
      </c>
      <c r="J140" s="74" t="s">
        <v>112</v>
      </c>
      <c r="K140" s="73">
        <f>(K139+4*$C137-60*$C138)/60</f>
        <v>-0.46954113238824352</v>
      </c>
      <c r="L140" s="72" t="s">
        <v>98</v>
      </c>
      <c r="N140" s="74" t="s">
        <v>112</v>
      </c>
      <c r="O140" s="73">
        <f>(O139+4*$C137-60*$C138)/60</f>
        <v>-0.47089406201030559</v>
      </c>
      <c r="P140" s="72" t="s">
        <v>98</v>
      </c>
    </row>
    <row r="141" spans="2:16">
      <c r="B141" s="74" t="s">
        <v>91</v>
      </c>
      <c r="C141" s="100">
        <f>INT(275*MONTH(C139)/9)-IF(C140="Y",1,2)*INT((MONTH(C139)+9)/12)+DAY(C139)-30</f>
        <v>356</v>
      </c>
      <c r="D141" s="72" t="s">
        <v>127</v>
      </c>
      <c r="F141" s="74"/>
      <c r="G141" s="73">
        <f>60*G140</f>
        <v>-28.09164234446353</v>
      </c>
      <c r="H141" s="72" t="s">
        <v>111</v>
      </c>
      <c r="J141" s="74"/>
      <c r="K141" s="73">
        <f>60*K140</f>
        <v>-28.17246794329461</v>
      </c>
      <c r="L141" s="72" t="s">
        <v>111</v>
      </c>
      <c r="N141" s="74"/>
      <c r="O141" s="73">
        <f>60*O140</f>
        <v>-28.253643720618335</v>
      </c>
      <c r="P141" s="72" t="s">
        <v>111</v>
      </c>
    </row>
    <row r="142" spans="2:16">
      <c r="B142" s="74" t="s">
        <v>6</v>
      </c>
      <c r="C142" s="96">
        <v>0.5</v>
      </c>
      <c r="D142" s="72" t="s">
        <v>97</v>
      </c>
      <c r="F142" s="74" t="s">
        <v>110</v>
      </c>
      <c r="G142" s="73">
        <f>G137+G140</f>
        <v>7.815139294258941</v>
      </c>
      <c r="H142" s="72" t="s">
        <v>98</v>
      </c>
      <c r="J142" s="74" t="s">
        <v>110</v>
      </c>
      <c r="K142" s="73">
        <f>K137+K140</f>
        <v>11.997125534278423</v>
      </c>
      <c r="L142" s="72" t="s">
        <v>98</v>
      </c>
      <c r="N142" s="74" t="s">
        <v>110</v>
      </c>
      <c r="O142" s="73">
        <f>O137+O140</f>
        <v>16.195772604656362</v>
      </c>
      <c r="P142" s="72" t="s">
        <v>98</v>
      </c>
    </row>
    <row r="143" spans="2:16">
      <c r="B143" s="74"/>
      <c r="C143" s="73">
        <f>HOUR(C142)+MINUTE(C142)/60</f>
        <v>12</v>
      </c>
      <c r="D143" s="72" t="s">
        <v>98</v>
      </c>
      <c r="F143" s="74"/>
      <c r="G143" s="91">
        <f>TIME(INT(G142),ROUND(60*(G142-INT(G142)),0),0)</f>
        <v>0.32569444444444445</v>
      </c>
      <c r="H143" s="72" t="s">
        <v>97</v>
      </c>
      <c r="J143" s="74"/>
      <c r="K143" s="91">
        <f>TIME(INT(K142),ROUND(60*(K142-INT(K142)),0),0)</f>
        <v>0.5</v>
      </c>
      <c r="L143" s="72" t="s">
        <v>97</v>
      </c>
      <c r="N143" s="74"/>
      <c r="O143" s="91">
        <f>TIME(INT(O142),ROUND(60*(O142-INT(O142)),0),0)</f>
        <v>0.67500000000000004</v>
      </c>
      <c r="P143" s="72" t="s">
        <v>97</v>
      </c>
    </row>
    <row r="144" spans="2:16">
      <c r="B144" s="68" t="s">
        <v>116</v>
      </c>
      <c r="C144" s="86">
        <f>2*PI()*($C141-1+((C143-12)/24))/IF($C140="Y",366,365)</f>
        <v>6.0943464045047895</v>
      </c>
      <c r="D144" s="67" t="s">
        <v>104</v>
      </c>
      <c r="F144" s="74" t="s">
        <v>109</v>
      </c>
      <c r="G144" s="88">
        <f>(60*G142/4)-180</f>
        <v>-62.772910586115884</v>
      </c>
      <c r="H144" s="72" t="s">
        <v>103</v>
      </c>
      <c r="J144" s="74" t="s">
        <v>109</v>
      </c>
      <c r="K144" s="88">
        <f>(60*K142/4)-180</f>
        <v>-4.3116985823644427E-2</v>
      </c>
      <c r="L144" s="72" t="s">
        <v>103</v>
      </c>
      <c r="N144" s="74" t="s">
        <v>109</v>
      </c>
      <c r="O144" s="88">
        <f>(60*O142/4)-180</f>
        <v>62.936589069845439</v>
      </c>
      <c r="P144" s="72" t="s">
        <v>103</v>
      </c>
    </row>
    <row r="145" spans="2:16">
      <c r="B145" s="74" t="s">
        <v>114</v>
      </c>
      <c r="C145" s="73">
        <f>229.18*(0.000075+0.001868*COS($C144)-0.032077*SIN($C144)-0.014615*COS(2*$C144)-0.040849*SIN(2*$C144))</f>
        <v>2.1565498883100527</v>
      </c>
      <c r="D145" s="72" t="s">
        <v>111</v>
      </c>
      <c r="F145" s="74"/>
      <c r="G145" s="88">
        <f>(PI()/180)*G144</f>
        <v>-1.0955939707877256</v>
      </c>
      <c r="H145" s="72" t="s">
        <v>104</v>
      </c>
      <c r="J145" s="74"/>
      <c r="K145" s="88">
        <f>(PI()/180)*K144</f>
        <v>-7.5253336615831439E-4</v>
      </c>
      <c r="L145" s="72" t="s">
        <v>104</v>
      </c>
      <c r="N145" s="74"/>
      <c r="O145" s="88">
        <f>(PI()/180)*O144</f>
        <v>1.0984506992434784</v>
      </c>
      <c r="P145" s="72" t="s">
        <v>104</v>
      </c>
    </row>
    <row r="146" spans="2:16">
      <c r="B146" s="74" t="s">
        <v>112</v>
      </c>
      <c r="C146" s="73">
        <f>(C145+4*$C137-60*$C138)/60</f>
        <v>-0.46939083519483243</v>
      </c>
      <c r="D146" s="72" t="s">
        <v>98</v>
      </c>
      <c r="F146" s="74" t="s">
        <v>108</v>
      </c>
      <c r="G146" s="88">
        <f>(180/PI())*G147</f>
        <v>-23.418579266954389</v>
      </c>
      <c r="H146" s="72" t="s">
        <v>103</v>
      </c>
      <c r="J146" s="74" t="s">
        <v>108</v>
      </c>
      <c r="K146" s="88">
        <f>(180/PI())*K147</f>
        <v>-23.420378053062109</v>
      </c>
      <c r="L146" s="72" t="s">
        <v>103</v>
      </c>
      <c r="N146" s="74" t="s">
        <v>108</v>
      </c>
      <c r="O146" s="88">
        <f>(180/PI())*O147</f>
        <v>-23.421946551475749</v>
      </c>
      <c r="P146" s="72" t="s">
        <v>103</v>
      </c>
    </row>
    <row r="147" spans="2:16">
      <c r="B147" s="74"/>
      <c r="C147" s="73">
        <f>60*$C146</f>
        <v>-28.163450111689947</v>
      </c>
      <c r="D147" s="72" t="s">
        <v>111</v>
      </c>
      <c r="F147" s="68"/>
      <c r="G147" s="86">
        <f>0.006918-0.399912*COS(G138)+0.070257*SIN(G138)-0.006758*COS(2*G138)+0.000907*SIN(2*G138)-0.002697*COS(3*G138)+0.00148*SIN(3*G138)</f>
        <v>-0.40873131434763416</v>
      </c>
      <c r="H147" s="67" t="s">
        <v>104</v>
      </c>
      <c r="J147" s="68"/>
      <c r="K147" s="86">
        <f>0.006918-0.399912*COS(K138)+0.070257*SIN(K138)-0.006758*COS(2*K138)+0.000907*SIN(2*K138)-0.002697*COS(3*K138)+0.00148*SIN(3*K138)</f>
        <v>-0.40876270908775303</v>
      </c>
      <c r="L147" s="67" t="s">
        <v>104</v>
      </c>
      <c r="N147" s="68"/>
      <c r="O147" s="86">
        <f>0.006918-0.399912*COS(O138)+0.070257*SIN(O138)-0.006758*COS(2*O138)+0.000907*SIN(2*O138)-0.002697*COS(3*O138)+0.00148*SIN(3*O138)</f>
        <v>-0.40879008454938331</v>
      </c>
      <c r="P147" s="67" t="s">
        <v>104</v>
      </c>
    </row>
    <row r="148" spans="2:16">
      <c r="B148" s="74" t="s">
        <v>110</v>
      </c>
      <c r="C148" s="73">
        <f>$C143+$C146</f>
        <v>11.530609164805167</v>
      </c>
      <c r="D148" s="72" t="s">
        <v>98</v>
      </c>
      <c r="F148" s="80" t="s">
        <v>107</v>
      </c>
      <c r="G148" s="85">
        <f>(180/PI())*ASIN(SIN(G147)*SIN($C136)+COS(G147)*COS($C136)*COS(G145))</f>
        <v>6.8761433219596324E-2</v>
      </c>
      <c r="H148" s="79"/>
      <c r="J148" s="80" t="s">
        <v>107</v>
      </c>
      <c r="K148" s="85">
        <f>(180/PI())*ASIN(SIN(K147)*SIN($C136)+COS(K147)*COS($C136)*COS(K145))</f>
        <v>20.129611022776434</v>
      </c>
      <c r="L148" s="79"/>
      <c r="N148" s="80" t="s">
        <v>107</v>
      </c>
      <c r="O148" s="85">
        <f>(180/PI())*ASIN(SIN(O147)*SIN($C136)+COS(O147)*COS($C136)*COS(O145))</f>
        <v>-2.5982070761018779E-2</v>
      </c>
      <c r="P148" s="79"/>
    </row>
    <row r="149" spans="2:16">
      <c r="B149" s="74"/>
      <c r="C149" s="91">
        <f>TIME(INT($C148),ROUND(60*($C148-INT($C148)),0),0)</f>
        <v>0.48055555555555557</v>
      </c>
      <c r="D149" s="72" t="s">
        <v>97</v>
      </c>
      <c r="F149" s="68" t="s">
        <v>106</v>
      </c>
      <c r="G149" s="84">
        <f>IF(G145&lt;0,(180/PI())*ACOS((SIN(G147)*COS($C136)-COS(G147)*SIN($C136)*COS(G145))/COS((PI()/180)*G148)),360-(180/PI())*ACOS((SIN(G147)*COS($C136)-COS(G147)*SIN($C136)*COS(G145))/COS((PI()/180)*G148)))</f>
        <v>125.31823995825576</v>
      </c>
      <c r="H149" s="83"/>
      <c r="J149" s="68" t="s">
        <v>106</v>
      </c>
      <c r="K149" s="84">
        <f>IF(K145&lt;0,(180/PI())*ACOS((SIN(K147)*COS($C136)-COS(K147)*SIN($C136)*COS(K145))/COS((PI()/180)*K148)),360-(180/PI())*ACOS((SIN(K147)*COS($C136)-COS(K147)*SIN($C136)*COS(K145))/COS((PI()/180)*K148)))</f>
        <v>179.95786130147437</v>
      </c>
      <c r="L149" s="83"/>
      <c r="N149" s="68" t="s">
        <v>106</v>
      </c>
      <c r="O149" s="84">
        <f>IF(O145&lt;0,(180/PI())*ACOS((SIN(O147)*COS($C136)-COS(O147)*SIN($C136)*COS(O145))/COS((PI()/180)*O148)),360-(180/PI())*ACOS((SIN(O147)*COS($C136)-COS(O147)*SIN($C136)*COS(O145))/COS((PI()/180)*O148)))</f>
        <v>234.79834972069057</v>
      </c>
      <c r="P149" s="83"/>
    </row>
    <row r="150" spans="2:16">
      <c r="B150" s="74" t="s">
        <v>109</v>
      </c>
      <c r="C150" s="88">
        <f>(60*$C148/4)-180</f>
        <v>-7.040862527922485</v>
      </c>
      <c r="D150" s="72" t="s">
        <v>103</v>
      </c>
    </row>
    <row r="151" spans="2:16">
      <c r="B151" s="74"/>
      <c r="C151" s="88">
        <f>(PI()/180)*$C150</f>
        <v>-0.12288623329253855</v>
      </c>
      <c r="D151" s="72" t="s">
        <v>104</v>
      </c>
    </row>
    <row r="152" spans="2:16">
      <c r="B152" s="74" t="s">
        <v>108</v>
      </c>
      <c r="C152" s="88">
        <f>(180/PI())*$C153</f>
        <v>-23.42018908796415</v>
      </c>
      <c r="D152" s="72" t="s">
        <v>103</v>
      </c>
    </row>
    <row r="153" spans="2:16">
      <c r="B153" s="74"/>
      <c r="C153" s="73">
        <f>0.006918-0.399912*COS($C144)+0.070257*SIN($C144)-0.006758*COS(2*$C144)+0.000907*SIN(2*$C144)-0.002697*COS(3*$C144)+0.00148*SIN(3*$C144)</f>
        <v>-0.40875941102462227</v>
      </c>
      <c r="D153" s="72" t="s">
        <v>104</v>
      </c>
    </row>
    <row r="154" spans="2:16">
      <c r="B154" s="80" t="s">
        <v>126</v>
      </c>
      <c r="C154" s="77">
        <v>90</v>
      </c>
      <c r="D154" s="94" t="s">
        <v>103</v>
      </c>
    </row>
    <row r="155" spans="2:16">
      <c r="B155" s="74" t="s">
        <v>105</v>
      </c>
      <c r="C155" s="73">
        <f>ACOS((COS((PI()/180)*$C154)/(COS($C136)*COS($C153)))-TAN($C136)*TAN($C153))</f>
        <v>1.0976881132883429</v>
      </c>
      <c r="D155" s="72" t="s">
        <v>104</v>
      </c>
    </row>
    <row r="156" spans="2:16">
      <c r="B156" s="74"/>
      <c r="C156" s="73">
        <f>(180/PI())*$C155</f>
        <v>62.892896113100228</v>
      </c>
      <c r="D156" s="72" t="s">
        <v>103</v>
      </c>
    </row>
    <row r="157" spans="2:16">
      <c r="B157" s="74" t="s">
        <v>102</v>
      </c>
      <c r="C157" s="73">
        <f>(720-4*($C137+$C156)-$C145)/60+$C138</f>
        <v>8.2765310943214843</v>
      </c>
      <c r="D157" s="72" t="s">
        <v>98</v>
      </c>
    </row>
    <row r="158" spans="2:16">
      <c r="B158" s="74"/>
      <c r="C158" s="75">
        <f>TIME(INT($C157),ROUND(60*($C157-INT($C157)),0),0)</f>
        <v>0.34513888888888888</v>
      </c>
      <c r="D158" s="72" t="s">
        <v>97</v>
      </c>
    </row>
    <row r="159" spans="2:16">
      <c r="B159" s="74" t="s">
        <v>101</v>
      </c>
      <c r="C159" s="73">
        <f>(720-4*($C137-$C156)-$C145)/60+$C138</f>
        <v>16.662250576068182</v>
      </c>
      <c r="D159" s="72" t="s">
        <v>98</v>
      </c>
    </row>
    <row r="160" spans="2:16">
      <c r="B160" s="74"/>
      <c r="C160" s="75">
        <f>TIME(INT($C159),ROUND(60*($C159-INT($C159)),0),0)</f>
        <v>0.69444444444444442</v>
      </c>
      <c r="D160" s="72" t="s">
        <v>97</v>
      </c>
    </row>
    <row r="161" spans="2:5">
      <c r="B161" s="74" t="s">
        <v>100</v>
      </c>
      <c r="C161" s="73">
        <f>(720-4*$C137-$C145)/60+$C138</f>
        <v>12.469390835194835</v>
      </c>
      <c r="D161" s="72" t="s">
        <v>98</v>
      </c>
    </row>
    <row r="162" spans="2:5">
      <c r="B162" s="74"/>
      <c r="C162" s="75">
        <f>TIME(INT($C161),ROUND(60*($C161-INT($C161)),0),0)</f>
        <v>0.51944444444444449</v>
      </c>
      <c r="D162" s="72" t="s">
        <v>97</v>
      </c>
    </row>
    <row r="163" spans="2:5">
      <c r="B163" s="74" t="s">
        <v>99</v>
      </c>
      <c r="C163" s="73">
        <f>$C159-$C157</f>
        <v>8.3857194817466976</v>
      </c>
      <c r="D163" s="72" t="s">
        <v>98</v>
      </c>
    </row>
    <row r="164" spans="2:5">
      <c r="B164" s="68"/>
      <c r="C164" s="64">
        <f>TIME(INT($C163),ROUND(60*($C163-INT($C163)),0),0)</f>
        <v>0.34930555555555554</v>
      </c>
      <c r="D164" s="67" t="s">
        <v>97</v>
      </c>
    </row>
    <row r="167" spans="2:5">
      <c r="B167" s="124" t="s">
        <v>125</v>
      </c>
    </row>
    <row r="169" spans="2:5">
      <c r="B169" s="123" t="s">
        <v>124</v>
      </c>
      <c r="C169" s="122" t="s">
        <v>6</v>
      </c>
      <c r="D169" s="121" t="s">
        <v>107</v>
      </c>
      <c r="E169" s="120" t="s">
        <v>106</v>
      </c>
    </row>
    <row r="170" spans="2:5">
      <c r="B170" s="119" t="str">
        <f>B157</f>
        <v>sunrise</v>
      </c>
      <c r="C170" s="118">
        <f>C158</f>
        <v>0.34513888888888888</v>
      </c>
      <c r="D170" s="117">
        <f>G148</f>
        <v>6.8761433219596324E-2</v>
      </c>
      <c r="E170" s="113">
        <f>G149</f>
        <v>125.31823995825576</v>
      </c>
    </row>
    <row r="171" spans="2:5">
      <c r="B171" s="116" t="str">
        <f>B161</f>
        <v>noon</v>
      </c>
      <c r="C171" s="115">
        <f>C162</f>
        <v>0.51944444444444449</v>
      </c>
      <c r="D171" s="114">
        <f>K148</f>
        <v>20.129611022776434</v>
      </c>
      <c r="E171" s="113">
        <f>K149</f>
        <v>179.95786130147437</v>
      </c>
    </row>
    <row r="172" spans="2:5">
      <c r="B172" s="112" t="str">
        <f>B159</f>
        <v>sunset</v>
      </c>
      <c r="C172" s="111">
        <f>C160</f>
        <v>0.69444444444444442</v>
      </c>
      <c r="D172" s="110">
        <f>O148</f>
        <v>-2.5982070761018779E-2</v>
      </c>
      <c r="E172" s="109">
        <f>O149</f>
        <v>234.79834972069057</v>
      </c>
    </row>
    <row r="176" spans="2:5" ht="21">
      <c r="B176" s="108" t="s">
        <v>123</v>
      </c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031A-8C19-A948-843A-B4313A7D53D9}">
  <dimension ref="A1"/>
  <sheetViews>
    <sheetView showGridLines="0" workbookViewId="0">
      <selection activeCell="L23" sqref="L23"/>
    </sheetView>
  </sheetViews>
  <sheetFormatPr baseColWidth="10" defaultRowHeight="15"/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Equinoxes, Solstices (Meeus)</vt:lpstr>
      <vt:lpstr>Other models</vt:lpstr>
      <vt:lpstr>Equinoxes, Solstices (Model 2)</vt:lpstr>
      <vt:lpstr>Background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Equinoxes and Solstices</dc:title>
  <dc:subject/>
  <dc:creator>Anton Viola</dc:creator>
  <cp:keywords/>
  <dc:description/>
  <cp:lastModifiedBy>Anton Viola</cp:lastModifiedBy>
  <dcterms:created xsi:type="dcterms:W3CDTF">2009-01-01T15:24:05Z</dcterms:created>
  <dcterms:modified xsi:type="dcterms:W3CDTF">2024-12-06T15:41:05Z</dcterms:modified>
  <cp:category/>
</cp:coreProperties>
</file>