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714"/>
  <workbookPr codeName="ThisWorkbook" autoCompressPictures="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0E2AD594-463F-D94E-A778-D21D811446CD}" xr6:coauthVersionLast="47" xr6:coauthVersionMax="47" xr10:uidLastSave="{00000000-0000-0000-0000-000000000000}"/>
  <bookViews>
    <workbookView xWindow="2800" yWindow="4980" windowWidth="31200" windowHeight="19480" xr2:uid="{00000000-000D-0000-FFFF-FFFF00000000}"/>
  </bookViews>
  <sheets>
    <sheet name="Introduction" sheetId="9" r:id="rId1"/>
    <sheet name="Visibility" sheetId="16" r:id="rId2"/>
    <sheet name="Illumination" sheetId="19" r:id="rId3"/>
    <sheet name="Catalogue" sheetId="17" r:id="rId4"/>
    <sheet name="Types" sheetId="18" r:id="rId5"/>
  </sheets>
  <definedNames>
    <definedName name="degrees">{0;90;180;270}</definedName>
    <definedName name="_xlnm.Print_Area" localSheetId="1">Visibility!$Q$2:$V$117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25" i="19" l="1"/>
  <c r="B26" i="19" s="1"/>
  <c r="B24" i="19"/>
  <c r="C24" i="19" s="1"/>
  <c r="G4" i="19"/>
  <c r="F10" i="19" s="1"/>
  <c r="F11" i="19" s="1"/>
  <c r="C2" i="19"/>
  <c r="F12" i="19" l="1"/>
  <c r="C26" i="19"/>
  <c r="B27" i="19"/>
  <c r="C25" i="19"/>
  <c r="C14" i="16"/>
  <c r="C13" i="16"/>
  <c r="Q4" i="16" s="1"/>
  <c r="Q5" i="16"/>
  <c r="R7" i="16"/>
  <c r="G7" i="16"/>
  <c r="Q3" i="16"/>
  <c r="B28" i="19" l="1"/>
  <c r="C27" i="19"/>
  <c r="F13" i="19"/>
  <c r="N120" i="16"/>
  <c r="C15" i="16"/>
  <c r="C7" i="16"/>
  <c r="C8" i="16" s="1"/>
  <c r="C10" i="16" s="1"/>
  <c r="C20" i="19" s="1"/>
  <c r="C3" i="19" l="1"/>
  <c r="C6" i="19" s="1"/>
  <c r="D20" i="19"/>
  <c r="F14" i="19"/>
  <c r="B29" i="19"/>
  <c r="C28" i="19"/>
  <c r="C9" i="16"/>
  <c r="C11" i="16"/>
  <c r="C16" i="16" s="1"/>
  <c r="C5" i="19" l="1"/>
  <c r="C4" i="19"/>
  <c r="C7" i="19" s="1"/>
  <c r="C8" i="19" s="1"/>
  <c r="B30" i="19"/>
  <c r="C29" i="19"/>
  <c r="F15" i="19"/>
  <c r="N117" i="16"/>
  <c r="N101" i="16"/>
  <c r="N85" i="16"/>
  <c r="N69" i="16"/>
  <c r="N53" i="16"/>
  <c r="N37" i="16"/>
  <c r="N21" i="16"/>
  <c r="N88" i="16"/>
  <c r="N72" i="16"/>
  <c r="N56" i="16"/>
  <c r="N40" i="16"/>
  <c r="N24" i="16"/>
  <c r="N15" i="16"/>
  <c r="N91" i="16"/>
  <c r="N59" i="16"/>
  <c r="N43" i="16"/>
  <c r="N78" i="16"/>
  <c r="N62" i="16"/>
  <c r="N20" i="16"/>
  <c r="N14" i="16"/>
  <c r="N77" i="16"/>
  <c r="N86" i="16"/>
  <c r="N104" i="16"/>
  <c r="N18" i="16"/>
  <c r="N75" i="16"/>
  <c r="N46" i="16"/>
  <c r="N9" i="16"/>
  <c r="N84" i="16"/>
  <c r="N52" i="16"/>
  <c r="N38" i="16"/>
  <c r="N73" i="16"/>
  <c r="N92" i="16"/>
  <c r="N13" i="16"/>
  <c r="N47" i="16"/>
  <c r="N10" i="16"/>
  <c r="N107" i="16"/>
  <c r="N27" i="16"/>
  <c r="N65" i="16"/>
  <c r="N100" i="16"/>
  <c r="N55" i="16"/>
  <c r="N39" i="16"/>
  <c r="N23" i="16"/>
  <c r="N99" i="16"/>
  <c r="N102" i="16"/>
  <c r="N70" i="16"/>
  <c r="N41" i="16"/>
  <c r="N60" i="16"/>
  <c r="N95" i="16"/>
  <c r="N114" i="16"/>
  <c r="N82" i="16"/>
  <c r="N110" i="16"/>
  <c r="N94" i="16"/>
  <c r="N30" i="16"/>
  <c r="N12" i="16"/>
  <c r="N49" i="16"/>
  <c r="N33" i="16"/>
  <c r="N11" i="16"/>
  <c r="N105" i="16"/>
  <c r="N108" i="16"/>
  <c r="N111" i="16"/>
  <c r="N113" i="16"/>
  <c r="N97" i="16"/>
  <c r="N81" i="16"/>
  <c r="N36" i="16"/>
  <c r="N42" i="16"/>
  <c r="N26" i="16"/>
  <c r="N79" i="16"/>
  <c r="N98" i="16"/>
  <c r="N66" i="16"/>
  <c r="N116" i="16"/>
  <c r="N68" i="16"/>
  <c r="N19" i="16"/>
  <c r="N44" i="16"/>
  <c r="N103" i="16"/>
  <c r="N87" i="16"/>
  <c r="N71" i="16"/>
  <c r="N83" i="16"/>
  <c r="N106" i="16"/>
  <c r="N90" i="16"/>
  <c r="N74" i="16"/>
  <c r="N58" i="16"/>
  <c r="N17" i="16"/>
  <c r="N8" i="16"/>
  <c r="N54" i="16"/>
  <c r="N25" i="16"/>
  <c r="N76" i="16"/>
  <c r="N28" i="16"/>
  <c r="N50" i="16"/>
  <c r="N109" i="16"/>
  <c r="N93" i="16"/>
  <c r="N61" i="16"/>
  <c r="N45" i="16"/>
  <c r="N29" i="16"/>
  <c r="N80" i="16"/>
  <c r="N57" i="16"/>
  <c r="N16" i="16"/>
  <c r="N63" i="16"/>
  <c r="N112" i="16"/>
  <c r="N96" i="16"/>
  <c r="N64" i="16"/>
  <c r="N48" i="16"/>
  <c r="N32" i="16"/>
  <c r="N51" i="16"/>
  <c r="N31" i="16"/>
  <c r="N34" i="16"/>
  <c r="N115" i="16"/>
  <c r="N67" i="16"/>
  <c r="N35" i="16"/>
  <c r="N22" i="16"/>
  <c r="N89" i="16"/>
  <c r="V3" i="16" l="1"/>
  <c r="B36" i="16"/>
  <c r="C21" i="19"/>
  <c r="G2" i="19" s="1"/>
  <c r="J3" i="19" s="1"/>
  <c r="J4" i="19" s="1"/>
  <c r="J5" i="19" s="1"/>
  <c r="G15" i="19" s="1"/>
  <c r="J15" i="19" s="1"/>
  <c r="F16" i="19"/>
  <c r="B31" i="19"/>
  <c r="C31" i="19" s="1"/>
  <c r="C30" i="19"/>
  <c r="I16" i="16"/>
  <c r="I95" i="16"/>
  <c r="I60" i="16"/>
  <c r="I80" i="16"/>
  <c r="I22" i="16"/>
  <c r="I15" i="16"/>
  <c r="I111" i="16"/>
  <c r="I61" i="16"/>
  <c r="I9" i="16"/>
  <c r="I23" i="16"/>
  <c r="I39" i="16"/>
  <c r="I68" i="16"/>
  <c r="I43" i="16"/>
  <c r="I81" i="16"/>
  <c r="I89" i="16"/>
  <c r="I41" i="16"/>
  <c r="I113" i="16"/>
  <c r="I35" i="16"/>
  <c r="I84" i="16"/>
  <c r="I87" i="16"/>
  <c r="I115" i="16"/>
  <c r="I105" i="16"/>
  <c r="I75" i="16"/>
  <c r="I28" i="16"/>
  <c r="I36" i="16"/>
  <c r="I57" i="16"/>
  <c r="I59" i="16"/>
  <c r="I106" i="16"/>
  <c r="I38" i="16"/>
  <c r="I83" i="16"/>
  <c r="I52" i="16"/>
  <c r="I45" i="16"/>
  <c r="I102" i="16"/>
  <c r="I67" i="16"/>
  <c r="I99" i="16"/>
  <c r="I93" i="16"/>
  <c r="I46" i="16"/>
  <c r="I34" i="16"/>
  <c r="I44" i="16"/>
  <c r="I49" i="16"/>
  <c r="I74" i="16"/>
  <c r="I92" i="16"/>
  <c r="I90" i="16"/>
  <c r="I73" i="16"/>
  <c r="I97" i="16"/>
  <c r="I91" i="16"/>
  <c r="I29" i="16"/>
  <c r="I70" i="16"/>
  <c r="I71" i="16"/>
  <c r="I24" i="16"/>
  <c r="I108" i="16"/>
  <c r="I40" i="16"/>
  <c r="I103" i="16"/>
  <c r="I56" i="16"/>
  <c r="I109" i="16"/>
  <c r="I11" i="16"/>
  <c r="I72" i="16"/>
  <c r="I31" i="16"/>
  <c r="I50" i="16"/>
  <c r="I19" i="16"/>
  <c r="I33" i="16"/>
  <c r="I55" i="16"/>
  <c r="I18" i="16"/>
  <c r="I88" i="16"/>
  <c r="I51" i="16"/>
  <c r="I100" i="16"/>
  <c r="I104" i="16"/>
  <c r="I21" i="16"/>
  <c r="I32" i="16"/>
  <c r="I76" i="16"/>
  <c r="I116" i="16"/>
  <c r="I12" i="16"/>
  <c r="I65" i="16"/>
  <c r="I86" i="16"/>
  <c r="I37" i="16"/>
  <c r="I48" i="16"/>
  <c r="I25" i="16"/>
  <c r="I66" i="16"/>
  <c r="I30" i="16"/>
  <c r="I27" i="16"/>
  <c r="I77" i="16"/>
  <c r="I53" i="16"/>
  <c r="I64" i="16"/>
  <c r="I54" i="16"/>
  <c r="I98" i="16"/>
  <c r="I94" i="16"/>
  <c r="I107" i="16"/>
  <c r="I14" i="16"/>
  <c r="I69" i="16"/>
  <c r="I96" i="16"/>
  <c r="I8" i="16"/>
  <c r="I79" i="16"/>
  <c r="I110" i="16"/>
  <c r="I10" i="16"/>
  <c r="I20" i="16"/>
  <c r="I85" i="16"/>
  <c r="I112" i="16"/>
  <c r="I17" i="16"/>
  <c r="I26" i="16"/>
  <c r="I82" i="16"/>
  <c r="I47" i="16"/>
  <c r="I62" i="16"/>
  <c r="I101" i="16"/>
  <c r="I63" i="16"/>
  <c r="I58" i="16"/>
  <c r="I42" i="16"/>
  <c r="I114" i="16"/>
  <c r="I13" i="16"/>
  <c r="I78" i="16"/>
  <c r="I117" i="16"/>
  <c r="H31" i="16" l="1"/>
  <c r="E31" i="16" s="1"/>
  <c r="H86" i="16"/>
  <c r="E86" i="16"/>
  <c r="H58" i="16"/>
  <c r="E58" i="16"/>
  <c r="H72" i="16"/>
  <c r="E72" i="16"/>
  <c r="H49" i="16"/>
  <c r="E49" i="16" s="1"/>
  <c r="H116" i="16"/>
  <c r="E116" i="16" s="1"/>
  <c r="H105" i="16"/>
  <c r="E105" i="16"/>
  <c r="H32" i="16"/>
  <c r="E32" i="16"/>
  <c r="H80" i="16"/>
  <c r="E80" i="16" s="1"/>
  <c r="H60" i="16"/>
  <c r="E60" i="16"/>
  <c r="H17" i="16"/>
  <c r="E17" i="16"/>
  <c r="H53" i="16"/>
  <c r="E53" i="16"/>
  <c r="H100" i="16"/>
  <c r="E100" i="16" s="1"/>
  <c r="H24" i="16"/>
  <c r="E24" i="16" s="1"/>
  <c r="H67" i="16"/>
  <c r="E67" i="16"/>
  <c r="H35" i="16"/>
  <c r="E35" i="16"/>
  <c r="H95" i="16"/>
  <c r="E95" i="16" s="1"/>
  <c r="H23" i="16"/>
  <c r="E23" i="16"/>
  <c r="H63" i="16"/>
  <c r="E63" i="16"/>
  <c r="H107" i="16"/>
  <c r="E107" i="16"/>
  <c r="H15" i="16"/>
  <c r="E15" i="16" s="1"/>
  <c r="H40" i="16"/>
  <c r="E40" i="16" s="1"/>
  <c r="H112" i="16"/>
  <c r="E112" i="16" s="1"/>
  <c r="H71" i="16"/>
  <c r="E71" i="16"/>
  <c r="H102" i="16"/>
  <c r="E102" i="16" s="1"/>
  <c r="H113" i="16"/>
  <c r="E113" i="16"/>
  <c r="H16" i="16"/>
  <c r="E16" i="16"/>
  <c r="H9" i="16"/>
  <c r="E9" i="16"/>
  <c r="H101" i="16"/>
  <c r="E101" i="16" s="1"/>
  <c r="H94" i="16"/>
  <c r="E94" i="16" s="1"/>
  <c r="H22" i="16"/>
  <c r="E22" i="16"/>
  <c r="H84" i="16"/>
  <c r="E84" i="16"/>
  <c r="H88" i="16"/>
  <c r="E88" i="16" s="1"/>
  <c r="H70" i="16"/>
  <c r="E70" i="16"/>
  <c r="H45" i="16"/>
  <c r="E45" i="16"/>
  <c r="H41" i="16"/>
  <c r="E41" i="16"/>
  <c r="H69" i="16"/>
  <c r="E69" i="16" s="1"/>
  <c r="H61" i="16"/>
  <c r="E61" i="16" s="1"/>
  <c r="H62" i="16"/>
  <c r="E62" i="16"/>
  <c r="H98" i="16"/>
  <c r="E98" i="16"/>
  <c r="H54" i="16"/>
  <c r="E54" i="16" s="1"/>
  <c r="H64" i="16"/>
  <c r="E64" i="16"/>
  <c r="H27" i="16"/>
  <c r="E27" i="16"/>
  <c r="H29" i="16"/>
  <c r="E29" i="16"/>
  <c r="H52" i="16"/>
  <c r="E52" i="16" s="1"/>
  <c r="H89" i="16"/>
  <c r="E89" i="16" s="1"/>
  <c r="H92" i="16"/>
  <c r="E92" i="16"/>
  <c r="H14" i="16"/>
  <c r="E14" i="16"/>
  <c r="H111" i="16"/>
  <c r="E111" i="16" s="1"/>
  <c r="H47" i="16"/>
  <c r="E47" i="16"/>
  <c r="H82" i="16"/>
  <c r="E82" i="16"/>
  <c r="H104" i="16"/>
  <c r="E104" i="16"/>
  <c r="H85" i="16"/>
  <c r="E85" i="16" s="1"/>
  <c r="H66" i="16"/>
  <c r="E66" i="16" s="1"/>
  <c r="H83" i="16"/>
  <c r="E83" i="16"/>
  <c r="H81" i="16"/>
  <c r="E81" i="16"/>
  <c r="H42" i="16"/>
  <c r="E42" i="16" s="1"/>
  <c r="H74" i="16"/>
  <c r="E74" i="16"/>
  <c r="H11" i="16"/>
  <c r="E11" i="16"/>
  <c r="H44" i="16"/>
  <c r="E44" i="16"/>
  <c r="H76" i="16"/>
  <c r="E76" i="16" s="1"/>
  <c r="H46" i="16"/>
  <c r="E46" i="16" s="1"/>
  <c r="H21" i="16"/>
  <c r="E21" i="16"/>
  <c r="H26" i="16"/>
  <c r="E26" i="16"/>
  <c r="H18" i="16"/>
  <c r="E18" i="16" s="1"/>
  <c r="H96" i="16"/>
  <c r="E96" i="16"/>
  <c r="H36" i="16"/>
  <c r="E36" i="16"/>
  <c r="H12" i="16"/>
  <c r="E12" i="16"/>
  <c r="H75" i="16"/>
  <c r="E75" i="16" s="1"/>
  <c r="H34" i="16"/>
  <c r="E34" i="16" s="1"/>
  <c r="H103" i="16"/>
  <c r="E103" i="16"/>
  <c r="H87" i="16"/>
  <c r="E87" i="16"/>
  <c r="H108" i="16"/>
  <c r="E108" i="16" s="1"/>
  <c r="H77" i="16"/>
  <c r="E77" i="16"/>
  <c r="H20" i="16"/>
  <c r="E20" i="16"/>
  <c r="H117" i="16"/>
  <c r="E117" i="16"/>
  <c r="H55" i="16"/>
  <c r="E55" i="16" s="1"/>
  <c r="H78" i="16"/>
  <c r="E78" i="16" s="1"/>
  <c r="H25" i="16"/>
  <c r="E25" i="16"/>
  <c r="H97" i="16"/>
  <c r="E97" i="16"/>
  <c r="H43" i="16"/>
  <c r="E43" i="16" s="1"/>
  <c r="H79" i="16"/>
  <c r="E79" i="16"/>
  <c r="H19" i="16"/>
  <c r="E19" i="16"/>
  <c r="H73" i="16"/>
  <c r="E73" i="16"/>
  <c r="H106" i="16"/>
  <c r="E106" i="16" s="1"/>
  <c r="H68" i="16"/>
  <c r="E68" i="16" s="1"/>
  <c r="H57" i="16"/>
  <c r="E57" i="16"/>
  <c r="H65" i="16"/>
  <c r="E65" i="16"/>
  <c r="H28" i="16"/>
  <c r="E28" i="16" s="1"/>
  <c r="H109" i="16"/>
  <c r="E109" i="16"/>
  <c r="H56" i="16"/>
  <c r="E56" i="16"/>
  <c r="H115" i="16"/>
  <c r="E115" i="16"/>
  <c r="H93" i="16"/>
  <c r="E93" i="16" s="1"/>
  <c r="H99" i="16"/>
  <c r="E99" i="16" s="1"/>
  <c r="H51" i="16"/>
  <c r="E51" i="16"/>
  <c r="H30" i="16"/>
  <c r="E30" i="16"/>
  <c r="H10" i="16"/>
  <c r="E10" i="16" s="1"/>
  <c r="H91" i="16"/>
  <c r="E91" i="16"/>
  <c r="H110" i="16"/>
  <c r="E110" i="16"/>
  <c r="H33" i="16"/>
  <c r="E33" i="16"/>
  <c r="H38" i="16"/>
  <c r="E38" i="16" s="1"/>
  <c r="H13" i="16"/>
  <c r="E13" i="16" s="1"/>
  <c r="H48" i="16"/>
  <c r="E48" i="16"/>
  <c r="H114" i="16"/>
  <c r="E114" i="16"/>
  <c r="H8" i="16"/>
  <c r="E8" i="16" s="1"/>
  <c r="H37" i="16"/>
  <c r="E37" i="16"/>
  <c r="H50" i="16"/>
  <c r="E50" i="16"/>
  <c r="H90" i="16"/>
  <c r="E90" i="16"/>
  <c r="H59" i="16"/>
  <c r="E59" i="16" s="1"/>
  <c r="H39" i="16"/>
  <c r="E39" i="16" s="1"/>
  <c r="H15" i="19"/>
  <c r="I15" i="19"/>
  <c r="G16" i="19"/>
  <c r="J16" i="19" s="1"/>
  <c r="F17" i="19"/>
  <c r="G9" i="19"/>
  <c r="H9" i="19" s="1"/>
  <c r="G11" i="19"/>
  <c r="H11" i="19" s="1"/>
  <c r="G10" i="19"/>
  <c r="H10" i="19" s="1"/>
  <c r="G12" i="19"/>
  <c r="H12" i="19" s="1"/>
  <c r="G13" i="19"/>
  <c r="H13" i="19" s="1"/>
  <c r="G14" i="19"/>
  <c r="H14" i="19" s="1"/>
  <c r="I16" i="19"/>
  <c r="E10" i="18"/>
  <c r="E9" i="18"/>
  <c r="E4" i="18"/>
  <c r="E6" i="18"/>
  <c r="E11" i="18"/>
  <c r="E12" i="18"/>
  <c r="E13" i="18"/>
  <c r="E14" i="18"/>
  <c r="V4" i="16" l="1"/>
  <c r="H16" i="19"/>
  <c r="I14" i="19"/>
  <c r="J14" i="19"/>
  <c r="J13" i="19"/>
  <c r="I13" i="19"/>
  <c r="J10" i="19"/>
  <c r="I10" i="19"/>
  <c r="I12" i="19"/>
  <c r="J12" i="19"/>
  <c r="J11" i="19"/>
  <c r="I11" i="19"/>
  <c r="J9" i="19"/>
  <c r="I9" i="19"/>
  <c r="F18" i="19"/>
  <c r="G17" i="19"/>
  <c r="J17" i="19" s="1"/>
  <c r="E7" i="18"/>
  <c r="E5" i="18"/>
  <c r="E15" i="18"/>
  <c r="E8" i="18"/>
  <c r="P8" i="16" a="1"/>
  <c r="P8" i="16" l="1"/>
  <c r="V5" i="16"/>
  <c r="H17" i="19"/>
  <c r="I17" i="19"/>
  <c r="G18" i="19"/>
  <c r="F19" i="19"/>
  <c r="J18" i="19"/>
  <c r="H18" i="19"/>
  <c r="I18" i="19"/>
  <c r="G19" i="19" l="1"/>
  <c r="F20" i="19"/>
  <c r="J19" i="19"/>
  <c r="H19" i="19"/>
  <c r="I19" i="19"/>
  <c r="F21" i="19" l="1"/>
  <c r="G20" i="19"/>
  <c r="I20" i="19"/>
  <c r="H20" i="19"/>
  <c r="J20" i="19"/>
  <c r="G21" i="19" l="1"/>
  <c r="F22" i="19"/>
  <c r="J21" i="19"/>
  <c r="I21" i="19"/>
  <c r="H21" i="19"/>
  <c r="G22" i="19" l="1"/>
  <c r="F23" i="19"/>
  <c r="I22" i="19"/>
  <c r="H22" i="19"/>
  <c r="J22" i="19"/>
  <c r="G23" i="19" l="1"/>
  <c r="F24" i="19"/>
  <c r="I23" i="19"/>
  <c r="J23" i="19"/>
  <c r="H23" i="19"/>
  <c r="F25" i="19" l="1"/>
  <c r="G24" i="19"/>
  <c r="H24" i="19"/>
  <c r="I24" i="19"/>
  <c r="J24" i="19"/>
  <c r="F26" i="19" l="1"/>
  <c r="G25" i="19"/>
  <c r="J25" i="19"/>
  <c r="H25" i="19"/>
  <c r="I25" i="19"/>
  <c r="G26" i="19" l="1"/>
  <c r="F27" i="19"/>
  <c r="H26" i="19"/>
  <c r="J26" i="19"/>
  <c r="I26" i="19"/>
  <c r="G27" i="19" l="1"/>
  <c r="F28" i="19"/>
  <c r="I27" i="19"/>
  <c r="H27" i="19"/>
  <c r="J27" i="19"/>
  <c r="G28" i="19" l="1"/>
  <c r="F29" i="19"/>
  <c r="I28" i="19"/>
  <c r="J28" i="19"/>
  <c r="H28" i="19"/>
  <c r="G29" i="19" l="1"/>
  <c r="F30" i="19"/>
  <c r="I29" i="19"/>
  <c r="J29" i="19"/>
  <c r="H29" i="19"/>
  <c r="F31" i="19" l="1"/>
  <c r="G30" i="19"/>
  <c r="H30" i="19"/>
  <c r="J30" i="19"/>
  <c r="I30" i="19"/>
  <c r="F32" i="19" l="1"/>
  <c r="G31" i="19"/>
  <c r="J31" i="19"/>
  <c r="I31" i="19"/>
  <c r="H31" i="19"/>
  <c r="F33" i="19" l="1"/>
  <c r="G32" i="19"/>
  <c r="J32" i="19"/>
  <c r="H32" i="19"/>
  <c r="I32" i="19"/>
  <c r="G33" i="19" l="1"/>
  <c r="F34" i="19"/>
  <c r="J33" i="19"/>
  <c r="I33" i="19"/>
  <c r="H33" i="19"/>
  <c r="F35" i="19" l="1"/>
  <c r="G34" i="19"/>
  <c r="J34" i="19"/>
  <c r="I34" i="19"/>
  <c r="H34" i="19"/>
  <c r="G35" i="19" l="1"/>
  <c r="F36" i="19"/>
  <c r="J35" i="19"/>
  <c r="H35" i="19"/>
  <c r="I35" i="19"/>
  <c r="F37" i="19" l="1"/>
  <c r="G36" i="19"/>
  <c r="J36" i="19"/>
  <c r="H36" i="19"/>
  <c r="I36" i="19"/>
  <c r="G37" i="19" l="1"/>
  <c r="F38" i="19"/>
  <c r="I37" i="19"/>
  <c r="H37" i="19"/>
  <c r="J37" i="19"/>
  <c r="F39" i="19" l="1"/>
  <c r="G38" i="19"/>
  <c r="J38" i="19"/>
  <c r="H38" i="19"/>
  <c r="I38" i="19"/>
  <c r="F40" i="19" l="1"/>
  <c r="G39" i="19"/>
  <c r="I39" i="19"/>
  <c r="H39" i="19"/>
  <c r="J39" i="19"/>
  <c r="G40" i="19" l="1"/>
  <c r="F41" i="19"/>
  <c r="J40" i="19"/>
  <c r="I40" i="19"/>
  <c r="H40" i="19"/>
  <c r="G41" i="19" l="1"/>
  <c r="F42" i="19"/>
  <c r="I41" i="19"/>
  <c r="J41" i="19"/>
  <c r="H41" i="19"/>
  <c r="F43" i="19" l="1"/>
  <c r="G42" i="19"/>
  <c r="J42" i="19"/>
  <c r="I42" i="19"/>
  <c r="H42" i="19"/>
  <c r="G43" i="19" l="1"/>
  <c r="F44" i="19"/>
  <c r="H43" i="19"/>
  <c r="I43" i="19"/>
  <c r="J43" i="19"/>
  <c r="F45" i="19" l="1"/>
  <c r="G44" i="19"/>
  <c r="J44" i="19"/>
  <c r="I44" i="19"/>
  <c r="H44" i="19"/>
  <c r="G45" i="19" l="1"/>
  <c r="F46" i="19"/>
  <c r="J45" i="19"/>
  <c r="H45" i="19"/>
  <c r="I45" i="19"/>
  <c r="G46" i="19" l="1"/>
  <c r="F47" i="19"/>
  <c r="J46" i="19"/>
  <c r="H46" i="19"/>
  <c r="I46" i="19"/>
  <c r="G47" i="19" l="1"/>
  <c r="F48" i="19"/>
  <c r="H47" i="19"/>
  <c r="I47" i="19"/>
  <c r="J47" i="19"/>
  <c r="F49" i="19" l="1"/>
  <c r="G48" i="19"/>
  <c r="J48" i="19"/>
  <c r="H48" i="19"/>
  <c r="I48" i="19"/>
  <c r="G49" i="19" l="1"/>
  <c r="F50" i="19"/>
  <c r="I49" i="19"/>
  <c r="H49" i="19"/>
  <c r="J49" i="19"/>
  <c r="F51" i="19" l="1"/>
  <c r="G50" i="19"/>
  <c r="H50" i="19"/>
  <c r="J50" i="19"/>
  <c r="I50" i="19"/>
  <c r="G51" i="19" l="1"/>
  <c r="F52" i="19"/>
  <c r="J51" i="19"/>
  <c r="H51" i="19"/>
  <c r="I51" i="19"/>
  <c r="F53" i="19" l="1"/>
  <c r="G52" i="19"/>
  <c r="H52" i="19"/>
  <c r="J52" i="19"/>
  <c r="I52" i="19"/>
  <c r="G53" i="19" l="1"/>
  <c r="F54" i="19"/>
  <c r="I53" i="19"/>
  <c r="J53" i="19"/>
  <c r="H53" i="19"/>
  <c r="G54" i="19" l="1"/>
  <c r="F55" i="19"/>
  <c r="I54" i="19"/>
  <c r="J54" i="19"/>
  <c r="H54" i="19"/>
  <c r="F56" i="19" l="1"/>
  <c r="G55" i="19"/>
  <c r="I55" i="19"/>
  <c r="J55" i="19"/>
  <c r="H55" i="19"/>
  <c r="G56" i="19" l="1"/>
  <c r="F57" i="19"/>
  <c r="I56" i="19"/>
  <c r="H56" i="19"/>
  <c r="J56" i="19"/>
  <c r="G57" i="19" l="1"/>
  <c r="F58" i="19"/>
  <c r="I57" i="19"/>
  <c r="J57" i="19"/>
  <c r="H57" i="19"/>
  <c r="F59" i="19" l="1"/>
  <c r="G58" i="19"/>
  <c r="H58" i="19"/>
  <c r="J58" i="19"/>
  <c r="I58" i="19"/>
  <c r="G59" i="19" l="1"/>
  <c r="F60" i="19"/>
  <c r="I59" i="19"/>
  <c r="J59" i="19"/>
  <c r="H59" i="19"/>
  <c r="F61" i="19" l="1"/>
  <c r="G60" i="19"/>
  <c r="H60" i="19"/>
  <c r="I60" i="19"/>
  <c r="J60" i="19"/>
  <c r="G61" i="19" l="1"/>
  <c r="F62" i="19"/>
  <c r="I61" i="19"/>
  <c r="J61" i="19"/>
  <c r="H61" i="19"/>
  <c r="G62" i="19" l="1"/>
  <c r="F63" i="19"/>
  <c r="J62" i="19"/>
  <c r="H62" i="19"/>
  <c r="I62" i="19"/>
  <c r="F64" i="19" l="1"/>
  <c r="G63" i="19"/>
  <c r="I63" i="19"/>
  <c r="J63" i="19"/>
  <c r="H63" i="19"/>
  <c r="F65" i="19" l="1"/>
  <c r="G64" i="19"/>
  <c r="I64" i="19" s="1"/>
  <c r="H64" i="19"/>
  <c r="J64" i="19"/>
  <c r="F66" i="19" l="1"/>
  <c r="G65" i="19"/>
  <c r="I65" i="19"/>
  <c r="H65" i="19"/>
  <c r="J65" i="19"/>
  <c r="G66" i="19" l="1"/>
  <c r="F67" i="19"/>
  <c r="J66" i="19"/>
  <c r="H66" i="19"/>
  <c r="I66" i="19"/>
  <c r="G67" i="19" l="1"/>
  <c r="F68" i="19"/>
  <c r="I67" i="19"/>
  <c r="H67" i="19"/>
  <c r="J67" i="19"/>
  <c r="F69" i="19" l="1"/>
  <c r="G68" i="19"/>
  <c r="J68" i="19"/>
  <c r="I68" i="19"/>
  <c r="H68" i="19"/>
  <c r="F70" i="19" l="1"/>
  <c r="G69" i="19"/>
  <c r="I69" i="19"/>
  <c r="J69" i="19"/>
  <c r="H69" i="19"/>
  <c r="G70" i="19" l="1"/>
  <c r="F71" i="19"/>
  <c r="I70" i="19"/>
  <c r="J70" i="19"/>
  <c r="H70" i="19"/>
  <c r="F72" i="19" l="1"/>
  <c r="G71" i="19"/>
  <c r="H71" i="19"/>
  <c r="I71" i="19"/>
  <c r="J71" i="19"/>
  <c r="G72" i="19" l="1"/>
  <c r="F73" i="19"/>
  <c r="H72" i="19"/>
  <c r="I72" i="19"/>
  <c r="J72" i="19"/>
  <c r="F74" i="19" l="1"/>
  <c r="G73" i="19"/>
  <c r="H73" i="19"/>
  <c r="I73" i="19"/>
  <c r="J73" i="19"/>
  <c r="F75" i="19" l="1"/>
  <c r="G74" i="19"/>
  <c r="I74" i="19"/>
  <c r="J74" i="19"/>
  <c r="H74" i="19"/>
  <c r="G75" i="19" l="1"/>
  <c r="F76" i="19"/>
  <c r="J75" i="19"/>
  <c r="I75" i="19"/>
  <c r="H75" i="19"/>
  <c r="G76" i="19" l="1"/>
  <c r="F77" i="19"/>
  <c r="I76" i="19"/>
  <c r="J76" i="19"/>
  <c r="H76" i="19"/>
  <c r="F78" i="19" l="1"/>
  <c r="G77" i="19"/>
  <c r="I77" i="19"/>
  <c r="J77" i="19"/>
  <c r="H77" i="19"/>
  <c r="G78" i="19" l="1"/>
  <c r="F79" i="19"/>
  <c r="I78" i="19"/>
  <c r="J78" i="19"/>
  <c r="H78" i="19"/>
  <c r="G79" i="19" l="1"/>
  <c r="F80" i="19"/>
  <c r="H79" i="19"/>
  <c r="I79" i="19"/>
  <c r="J79" i="19"/>
  <c r="G80" i="19" l="1"/>
  <c r="F81" i="19"/>
  <c r="J80" i="19"/>
  <c r="H80" i="19"/>
  <c r="I80" i="19"/>
  <c r="G81" i="19" l="1"/>
  <c r="F82" i="19"/>
  <c r="H81" i="19"/>
  <c r="J81" i="19"/>
  <c r="I81" i="19"/>
  <c r="F83" i="19" l="1"/>
  <c r="G82" i="19"/>
  <c r="J82" i="19" s="1"/>
  <c r="I82" i="19"/>
  <c r="H82" i="19" l="1"/>
  <c r="F84" i="19"/>
  <c r="G83" i="19"/>
  <c r="J83" i="19"/>
  <c r="H83" i="19"/>
  <c r="I83" i="19"/>
  <c r="F85" i="19" l="1"/>
  <c r="G84" i="19"/>
  <c r="I84" i="19"/>
  <c r="H84" i="19"/>
  <c r="J84" i="19"/>
  <c r="F86" i="19" l="1"/>
  <c r="G85" i="19"/>
  <c r="I85" i="19"/>
  <c r="J85" i="19"/>
  <c r="H85" i="19"/>
  <c r="G86" i="19" l="1"/>
  <c r="F87" i="19"/>
  <c r="J86" i="19"/>
  <c r="I86" i="19"/>
  <c r="H86" i="19"/>
  <c r="F88" i="19" l="1"/>
  <c r="G87" i="19"/>
  <c r="J87" i="19"/>
  <c r="I87" i="19"/>
  <c r="H87" i="19"/>
  <c r="G88" i="19" l="1"/>
  <c r="F89" i="19"/>
  <c r="I88" i="19"/>
  <c r="J88" i="19"/>
  <c r="H88" i="19"/>
  <c r="F90" i="19" l="1"/>
  <c r="G89" i="19"/>
  <c r="H89" i="19"/>
  <c r="I89" i="19"/>
  <c r="J89" i="19"/>
  <c r="F91" i="19" l="1"/>
  <c r="G90" i="19"/>
  <c r="J90" i="19"/>
  <c r="H90" i="19"/>
  <c r="I90" i="19"/>
  <c r="G91" i="19" l="1"/>
  <c r="F92" i="19"/>
  <c r="J91" i="19"/>
  <c r="I91" i="19"/>
  <c r="H91" i="19"/>
  <c r="F93" i="19" l="1"/>
  <c r="G92" i="19"/>
  <c r="H92" i="19" s="1"/>
  <c r="J92" i="19"/>
  <c r="I92" i="19" l="1"/>
  <c r="F94" i="19"/>
  <c r="G93" i="19"/>
  <c r="J93" i="19" s="1"/>
  <c r="H93" i="19"/>
  <c r="I93" i="19" l="1"/>
  <c r="G94" i="19"/>
  <c r="F95" i="19"/>
  <c r="J94" i="19"/>
  <c r="I94" i="19"/>
  <c r="H94" i="19"/>
  <c r="F96" i="19" l="1"/>
  <c r="G95" i="19"/>
  <c r="H95" i="19"/>
  <c r="J95" i="19"/>
  <c r="I95" i="19"/>
  <c r="F97" i="19" l="1"/>
  <c r="G96" i="19"/>
  <c r="I96" i="19"/>
  <c r="H96" i="19"/>
  <c r="J96" i="19"/>
  <c r="G97" i="19" l="1"/>
  <c r="F98" i="19"/>
  <c r="H97" i="19"/>
  <c r="J97" i="19"/>
  <c r="I97" i="19"/>
  <c r="G98" i="19" l="1"/>
  <c r="F99" i="19"/>
  <c r="J98" i="19"/>
  <c r="I98" i="19"/>
  <c r="H98" i="19"/>
  <c r="F100" i="19" l="1"/>
  <c r="G99" i="19"/>
  <c r="H99" i="19"/>
  <c r="J99" i="19"/>
  <c r="I99" i="19"/>
  <c r="F101" i="19" l="1"/>
  <c r="G100" i="19"/>
  <c r="H100" i="19"/>
  <c r="J100" i="19"/>
  <c r="I100" i="19"/>
  <c r="F102" i="19" l="1"/>
  <c r="G101" i="19"/>
  <c r="H101" i="19"/>
  <c r="I101" i="19"/>
  <c r="J101" i="19"/>
  <c r="G102" i="19" l="1"/>
  <c r="F103" i="19"/>
  <c r="J102" i="19"/>
  <c r="H102" i="19"/>
  <c r="I102" i="19"/>
  <c r="F104" i="19" l="1"/>
  <c r="G103" i="19"/>
  <c r="I103" i="19"/>
  <c r="H103" i="19"/>
  <c r="J103" i="19"/>
  <c r="G104" i="19" l="1"/>
  <c r="F105" i="19"/>
  <c r="I104" i="19"/>
  <c r="H104" i="19"/>
  <c r="J104" i="19"/>
  <c r="F106" i="19" l="1"/>
  <c r="G105" i="19"/>
  <c r="I105" i="19"/>
  <c r="J105" i="19"/>
  <c r="H105" i="19"/>
  <c r="F107" i="19" l="1"/>
  <c r="G106" i="19"/>
  <c r="J106" i="19"/>
  <c r="I106" i="19"/>
  <c r="H106" i="19"/>
  <c r="G107" i="19" l="1"/>
  <c r="F108" i="19"/>
  <c r="H107" i="19"/>
  <c r="J107" i="19"/>
  <c r="I107" i="19"/>
  <c r="F109" i="19" l="1"/>
  <c r="G108" i="19"/>
  <c r="J108" i="19"/>
  <c r="H108" i="19"/>
  <c r="I108" i="19"/>
  <c r="F110" i="19" l="1"/>
  <c r="G109" i="19"/>
  <c r="J109" i="19"/>
  <c r="H109" i="19"/>
  <c r="I109" i="19"/>
  <c r="G110" i="19" l="1"/>
  <c r="F111" i="19"/>
  <c r="I110" i="19"/>
  <c r="H110" i="19"/>
  <c r="J110" i="19"/>
  <c r="G111" i="19" l="1"/>
  <c r="F112" i="19"/>
  <c r="H111" i="19"/>
  <c r="I111" i="19"/>
  <c r="J111" i="19"/>
  <c r="F113" i="19" l="1"/>
  <c r="G112" i="19"/>
  <c r="J112" i="19"/>
  <c r="I112" i="19"/>
  <c r="H112" i="19"/>
  <c r="F114" i="19" l="1"/>
  <c r="G113" i="19"/>
  <c r="J113" i="19"/>
  <c r="I113" i="19"/>
  <c r="H113" i="19"/>
  <c r="G114" i="19" l="1"/>
  <c r="F115" i="19"/>
  <c r="H114" i="19"/>
  <c r="I114" i="19"/>
  <c r="J114" i="19"/>
  <c r="G115" i="19" l="1"/>
  <c r="F116" i="19"/>
  <c r="J115" i="19"/>
  <c r="H115" i="19"/>
  <c r="I115" i="19"/>
  <c r="F117" i="19" l="1"/>
  <c r="G116" i="19"/>
  <c r="H116" i="19"/>
  <c r="J116" i="19"/>
  <c r="I116" i="19"/>
  <c r="F118" i="19" l="1"/>
  <c r="G117" i="19"/>
  <c r="J117" i="19"/>
  <c r="I117" i="19"/>
  <c r="H117" i="19"/>
  <c r="F119" i="19" l="1"/>
  <c r="G118" i="19"/>
  <c r="H118" i="19"/>
  <c r="J118" i="19"/>
  <c r="I118" i="19"/>
  <c r="F120" i="19" l="1"/>
  <c r="G119" i="19"/>
  <c r="H119" i="19"/>
  <c r="I119" i="19"/>
  <c r="J119" i="19"/>
  <c r="G120" i="19" l="1"/>
  <c r="F121" i="19"/>
  <c r="J120" i="19"/>
  <c r="I120" i="19"/>
  <c r="H120" i="19"/>
  <c r="F122" i="19" l="1"/>
  <c r="G121" i="19"/>
  <c r="I121" i="19"/>
  <c r="J121" i="19"/>
  <c r="H121" i="19"/>
  <c r="F123" i="19" l="1"/>
  <c r="G122" i="19"/>
  <c r="I122" i="19" s="1"/>
  <c r="J122" i="19"/>
  <c r="H122" i="19"/>
  <c r="G123" i="19" l="1"/>
  <c r="F124" i="19"/>
  <c r="H123" i="19"/>
  <c r="I123" i="19"/>
  <c r="J123" i="19"/>
  <c r="G124" i="19" l="1"/>
  <c r="H124" i="19" s="1"/>
  <c r="F125" i="19"/>
  <c r="J124" i="19"/>
  <c r="I124" i="19"/>
  <c r="G125" i="19" l="1"/>
  <c r="J125" i="19" s="1"/>
  <c r="F126" i="19"/>
  <c r="I125" i="19"/>
  <c r="H125" i="19" l="1"/>
  <c r="G126" i="19"/>
  <c r="I126" i="19" s="1"/>
  <c r="F127" i="19"/>
  <c r="H126" i="19" l="1"/>
  <c r="J126" i="19"/>
  <c r="G127" i="19"/>
  <c r="H127" i="19" s="1"/>
  <c r="F128" i="19"/>
  <c r="I127" i="19" l="1"/>
  <c r="J127" i="19"/>
  <c r="G128" i="19"/>
  <c r="H128" i="19" s="1"/>
  <c r="F129" i="19"/>
  <c r="J128" i="19" l="1"/>
  <c r="I128" i="19"/>
  <c r="F130" i="19"/>
  <c r="G129" i="19"/>
  <c r="I129" i="19" s="1"/>
  <c r="J129" i="19" l="1"/>
  <c r="H129" i="19"/>
  <c r="G130" i="19"/>
  <c r="H130" i="19" s="1"/>
  <c r="F131" i="19"/>
  <c r="J130" i="19" l="1"/>
  <c r="I130" i="19"/>
  <c r="G131" i="19"/>
  <c r="I131" i="19" s="1"/>
  <c r="F132" i="19"/>
  <c r="J131" i="19" l="1"/>
  <c r="H131" i="19"/>
  <c r="F133" i="19"/>
  <c r="G132" i="19"/>
  <c r="J132" i="19" s="1"/>
  <c r="H132" i="19" l="1"/>
  <c r="I132" i="19"/>
  <c r="F134" i="19"/>
  <c r="G133" i="19"/>
  <c r="I133" i="19" s="1"/>
  <c r="H133" i="19" l="1"/>
  <c r="J133" i="19"/>
  <c r="G134" i="19"/>
  <c r="I134" i="19" s="1"/>
  <c r="F135" i="19"/>
  <c r="H134" i="19" l="1"/>
  <c r="J134" i="19"/>
  <c r="F136" i="19"/>
  <c r="G135" i="19"/>
  <c r="I135" i="19" s="1"/>
  <c r="J135" i="19" l="1"/>
  <c r="H135" i="19"/>
  <c r="G136" i="19"/>
  <c r="J136" i="19" s="1"/>
  <c r="F137" i="19"/>
  <c r="H136" i="19" l="1"/>
  <c r="I136" i="19"/>
  <c r="F138" i="19"/>
  <c r="G137" i="19"/>
  <c r="H137" i="19"/>
  <c r="J137" i="19"/>
  <c r="I137" i="19"/>
  <c r="F139" i="19" l="1"/>
  <c r="G138" i="19"/>
  <c r="I138" i="19"/>
  <c r="J138" i="19"/>
  <c r="H138" i="19"/>
  <c r="G139" i="19" l="1"/>
  <c r="F140" i="19"/>
  <c r="I139" i="19"/>
  <c r="J139" i="19"/>
  <c r="H139" i="19"/>
  <c r="G140" i="19" l="1"/>
  <c r="F141" i="19"/>
  <c r="H140" i="19"/>
  <c r="I140" i="19"/>
  <c r="J140" i="19"/>
  <c r="G141" i="19" l="1"/>
  <c r="H141" i="19" s="1"/>
  <c r="F142" i="19"/>
  <c r="I141" i="19"/>
  <c r="J141" i="19"/>
  <c r="G142" i="19" l="1"/>
  <c r="F143" i="19"/>
  <c r="H142" i="19"/>
  <c r="J142" i="19"/>
  <c r="I142" i="19"/>
  <c r="G143" i="19" l="1"/>
  <c r="F144" i="19"/>
  <c r="J143" i="19"/>
  <c r="H143" i="19"/>
  <c r="I143" i="19"/>
  <c r="F145" i="19" l="1"/>
  <c r="G144" i="19"/>
  <c r="I144" i="19"/>
  <c r="H144" i="19"/>
  <c r="J144" i="19"/>
  <c r="G145" i="19" l="1"/>
  <c r="F146" i="19"/>
  <c r="I145" i="19"/>
  <c r="H145" i="19"/>
  <c r="J145" i="19"/>
  <c r="F147" i="19" l="1"/>
  <c r="G146" i="19"/>
  <c r="J146" i="19"/>
  <c r="H146" i="19"/>
  <c r="I146" i="19"/>
  <c r="G147" i="19" l="1"/>
  <c r="F148" i="19"/>
  <c r="J147" i="19"/>
  <c r="I147" i="19"/>
  <c r="H147" i="19"/>
  <c r="F149" i="19" l="1"/>
  <c r="G148" i="19"/>
  <c r="J148" i="19"/>
  <c r="I148" i="19"/>
  <c r="H148" i="19"/>
  <c r="F150" i="19" l="1"/>
  <c r="G149" i="19"/>
  <c r="I149" i="19"/>
  <c r="J149" i="19"/>
  <c r="H149" i="19"/>
  <c r="F151" i="19" l="1"/>
  <c r="G150" i="19"/>
  <c r="I150" i="19"/>
  <c r="H150" i="19"/>
  <c r="J150" i="19"/>
  <c r="F152" i="19" l="1"/>
  <c r="G151" i="19"/>
  <c r="I151" i="19"/>
  <c r="J151" i="19"/>
  <c r="H151" i="19"/>
  <c r="G152" i="19" l="1"/>
  <c r="F153" i="19"/>
  <c r="J152" i="19"/>
  <c r="H152" i="19"/>
  <c r="I152" i="19"/>
  <c r="F154" i="19" l="1"/>
  <c r="G153" i="19"/>
  <c r="I153" i="19"/>
  <c r="J153" i="19"/>
  <c r="H153" i="19"/>
  <c r="F155" i="19" l="1"/>
  <c r="G154" i="19"/>
  <c r="H154" i="19"/>
  <c r="I154" i="19"/>
  <c r="J154" i="19"/>
  <c r="G155" i="19" l="1"/>
  <c r="F156" i="19"/>
  <c r="I155" i="19"/>
  <c r="H155" i="19"/>
  <c r="J155" i="19"/>
  <c r="G156" i="19" l="1"/>
  <c r="F157" i="19"/>
  <c r="H156" i="19"/>
  <c r="I156" i="19"/>
  <c r="J156" i="19"/>
  <c r="F158" i="19" l="1"/>
  <c r="G157" i="19"/>
  <c r="I157" i="19"/>
  <c r="J157" i="19"/>
  <c r="H157" i="19"/>
  <c r="G158" i="19" l="1"/>
  <c r="F159" i="19"/>
  <c r="H158" i="19"/>
  <c r="J158" i="19"/>
  <c r="I158" i="19"/>
  <c r="F160" i="19" l="1"/>
  <c r="G159" i="19"/>
  <c r="I159" i="19"/>
  <c r="H159" i="19"/>
  <c r="J159" i="19"/>
  <c r="F161" i="19" l="1"/>
  <c r="G160" i="19"/>
  <c r="J160" i="19"/>
  <c r="H160" i="19"/>
  <c r="I160" i="19"/>
  <c r="G161" i="19" l="1"/>
  <c r="F162" i="19"/>
  <c r="H161" i="19"/>
  <c r="J161" i="19"/>
  <c r="I161" i="19"/>
  <c r="F163" i="19" l="1"/>
  <c r="G162" i="19"/>
  <c r="I162" i="19"/>
  <c r="J162" i="19"/>
  <c r="H162" i="19"/>
  <c r="F164" i="19" l="1"/>
  <c r="G163" i="19"/>
  <c r="I163" i="19" s="1"/>
  <c r="H163" i="19"/>
  <c r="J163" i="19"/>
  <c r="F165" i="19" l="1"/>
  <c r="G164" i="19"/>
  <c r="I164" i="19"/>
  <c r="H164" i="19"/>
  <c r="J164" i="19"/>
  <c r="F166" i="19" l="1"/>
  <c r="G165" i="19"/>
  <c r="H165" i="19"/>
  <c r="I165" i="19"/>
  <c r="J165" i="19"/>
  <c r="G166" i="19" l="1"/>
  <c r="F167" i="19"/>
  <c r="I166" i="19"/>
  <c r="J166" i="19"/>
  <c r="H166" i="19"/>
  <c r="F168" i="19" l="1"/>
  <c r="G167" i="19"/>
  <c r="H167" i="19"/>
  <c r="J167" i="19"/>
  <c r="I167" i="19"/>
  <c r="G168" i="19" l="1"/>
  <c r="F169" i="19"/>
  <c r="H168" i="19"/>
  <c r="I168" i="19"/>
  <c r="J168" i="19"/>
  <c r="F170" i="19" l="1"/>
  <c r="G169" i="19"/>
  <c r="H169" i="19"/>
  <c r="J169" i="19"/>
  <c r="I169" i="19"/>
  <c r="F171" i="19" l="1"/>
  <c r="G170" i="19"/>
  <c r="J170" i="19"/>
  <c r="H170" i="19"/>
  <c r="I170" i="19"/>
  <c r="G171" i="19" l="1"/>
  <c r="F172" i="19"/>
  <c r="I171" i="19"/>
  <c r="H171" i="19"/>
  <c r="J171" i="19"/>
  <c r="G172" i="19" l="1"/>
  <c r="J172" i="19" s="1"/>
  <c r="F173" i="19"/>
  <c r="I172" i="19"/>
  <c r="H172" i="19"/>
  <c r="F174" i="19" l="1"/>
  <c r="G173" i="19"/>
  <c r="I173" i="19"/>
  <c r="H173" i="19"/>
  <c r="J173" i="19"/>
  <c r="G174" i="19" l="1"/>
  <c r="F175" i="19"/>
  <c r="I174" i="19"/>
  <c r="J174" i="19"/>
  <c r="H174" i="19"/>
  <c r="G175" i="19" l="1"/>
  <c r="F176" i="19"/>
  <c r="J175" i="19"/>
  <c r="I175" i="19"/>
  <c r="H175" i="19"/>
  <c r="F177" i="19" l="1"/>
  <c r="G176" i="19"/>
  <c r="J176" i="19"/>
  <c r="H176" i="19"/>
  <c r="I176" i="19"/>
  <c r="G177" i="19" l="1"/>
  <c r="F178" i="19"/>
  <c r="H177" i="19"/>
  <c r="J177" i="19"/>
  <c r="I177" i="19"/>
  <c r="F179" i="19" l="1"/>
  <c r="G178" i="19"/>
  <c r="I178" i="19"/>
  <c r="J178" i="19"/>
  <c r="H178" i="19"/>
  <c r="G179" i="19" l="1"/>
  <c r="F180" i="19"/>
  <c r="J179" i="19"/>
  <c r="I179" i="19"/>
  <c r="H179" i="19"/>
  <c r="F181" i="19" l="1"/>
  <c r="G180" i="19"/>
  <c r="I180" i="19"/>
  <c r="H180" i="19"/>
  <c r="J180" i="19"/>
  <c r="F182" i="19" l="1"/>
  <c r="G181" i="19"/>
  <c r="H181" i="19" s="1"/>
  <c r="I181" i="19"/>
  <c r="J181" i="19"/>
  <c r="F183" i="19" l="1"/>
  <c r="G182" i="19"/>
  <c r="J182" i="19"/>
  <c r="I182" i="19"/>
  <c r="H182" i="19"/>
  <c r="F184" i="19" l="1"/>
  <c r="G183" i="19"/>
  <c r="I183" i="19"/>
  <c r="H183" i="19"/>
  <c r="J183" i="19"/>
  <c r="G184" i="19" l="1"/>
  <c r="F185" i="19"/>
  <c r="I184" i="19"/>
  <c r="H184" i="19"/>
  <c r="J184" i="19"/>
  <c r="G185" i="19" l="1"/>
  <c r="F186" i="19"/>
  <c r="H185" i="19"/>
  <c r="J185" i="19"/>
  <c r="I185" i="19"/>
  <c r="F187" i="19" l="1"/>
  <c r="G186" i="19"/>
  <c r="J186" i="19"/>
  <c r="H186" i="19"/>
  <c r="I186" i="19"/>
  <c r="G187" i="19" l="1"/>
  <c r="F188" i="19"/>
  <c r="I187" i="19"/>
  <c r="J187" i="19"/>
  <c r="H187" i="19"/>
  <c r="G188" i="19" l="1"/>
  <c r="F189" i="19"/>
  <c r="I188" i="19"/>
  <c r="H188" i="19"/>
  <c r="J188" i="19"/>
  <c r="F190" i="19" l="1"/>
  <c r="G189" i="19"/>
  <c r="H189" i="19"/>
  <c r="I189" i="19"/>
  <c r="J189" i="19"/>
  <c r="G190" i="19" l="1"/>
  <c r="F191" i="19"/>
  <c r="I190" i="19"/>
  <c r="J190" i="19"/>
  <c r="H190" i="19"/>
  <c r="F192" i="19" l="1"/>
  <c r="G191" i="19"/>
  <c r="I191" i="19"/>
  <c r="J191" i="19"/>
  <c r="H191" i="19"/>
  <c r="G192" i="19" l="1"/>
  <c r="F193" i="19"/>
  <c r="J192" i="19"/>
  <c r="H192" i="19"/>
  <c r="I192" i="19"/>
  <c r="G193" i="19" l="1"/>
  <c r="F194" i="19"/>
  <c r="J193" i="19"/>
  <c r="I193" i="19"/>
  <c r="H193" i="19"/>
  <c r="G194" i="19" l="1"/>
  <c r="F195" i="19"/>
  <c r="J194" i="19"/>
  <c r="I194" i="19"/>
  <c r="H194" i="19"/>
  <c r="F196" i="19" l="1"/>
  <c r="G195" i="19"/>
  <c r="J195" i="19"/>
  <c r="I195" i="19"/>
  <c r="H195" i="19"/>
  <c r="F197" i="19" l="1"/>
  <c r="G196" i="19"/>
  <c r="H196" i="19"/>
  <c r="J196" i="19"/>
  <c r="I196" i="19"/>
  <c r="F198" i="19" l="1"/>
  <c r="G197" i="19"/>
  <c r="J197" i="19"/>
  <c r="H197" i="19"/>
  <c r="I197" i="19"/>
  <c r="G198" i="19" l="1"/>
  <c r="F199" i="19"/>
  <c r="J198" i="19"/>
  <c r="H198" i="19"/>
  <c r="I198" i="19"/>
  <c r="F200" i="19" l="1"/>
  <c r="G199" i="19"/>
  <c r="I199" i="19"/>
  <c r="H199" i="19"/>
  <c r="J199" i="19"/>
  <c r="G200" i="19" l="1"/>
  <c r="F201" i="19"/>
  <c r="I200" i="19"/>
  <c r="H200" i="19"/>
  <c r="J200" i="19"/>
  <c r="G201" i="19" l="1"/>
  <c r="F202" i="19"/>
  <c r="H201" i="19"/>
  <c r="J201" i="19"/>
  <c r="I201" i="19"/>
  <c r="F203" i="19" l="1"/>
  <c r="G202" i="19"/>
  <c r="J202" i="19"/>
  <c r="I202" i="19"/>
  <c r="H202" i="19"/>
  <c r="G203" i="19" l="1"/>
  <c r="F204" i="19"/>
  <c r="I203" i="19"/>
  <c r="H203" i="19"/>
  <c r="J203" i="19"/>
  <c r="F205" i="19" l="1"/>
  <c r="G204" i="19"/>
  <c r="H204" i="19"/>
  <c r="J204" i="19"/>
  <c r="I204" i="19"/>
  <c r="F206" i="19" l="1"/>
  <c r="G205" i="19"/>
  <c r="H205" i="19"/>
  <c r="I205" i="19"/>
  <c r="J205" i="19"/>
  <c r="G206" i="19" l="1"/>
  <c r="F207" i="19"/>
  <c r="I206" i="19"/>
  <c r="J206" i="19"/>
  <c r="H206" i="19"/>
  <c r="F208" i="19" l="1"/>
  <c r="G207" i="19"/>
  <c r="J207" i="19"/>
  <c r="H207" i="19"/>
  <c r="I207" i="19"/>
  <c r="F209" i="19" l="1"/>
  <c r="G208" i="19"/>
  <c r="H208" i="19"/>
  <c r="J208" i="19"/>
  <c r="I208" i="19"/>
  <c r="G209" i="19" l="1"/>
  <c r="J209" i="19"/>
  <c r="I209" i="19"/>
  <c r="H209" i="1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<sst xmlns="http://schemas.openxmlformats.org/spreadsheetml/2006/main" count="577" uniqueCount="291">
  <si>
    <t>Email</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</si>
  <si>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</si>
  <si>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</si>
  <si>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</si>
  <si>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Body)"/>
      </rPr>
      <t>Compiled by</t>
    </r>
    <r>
      <rPr>
        <sz val="14"/>
        <color theme="0"/>
        <rFont val="Calibri (Body)"/>
      </rPr>
      <t>: Anton Viola (Astronomy Morsels).</t>
    </r>
  </si>
  <si>
    <r>
      <rPr>
        <b/>
        <sz val="14"/>
        <color theme="0"/>
        <rFont val="Calibri (Body)"/>
      </rPr>
      <t>Latest update</t>
    </r>
    <r>
      <rPr>
        <sz val="14"/>
        <color theme="0"/>
        <rFont val="Calibri (Body)"/>
      </rPr>
      <t>: 12th May, 2024</t>
    </r>
  </si>
  <si>
    <t>min</t>
  </si>
  <si>
    <t>max</t>
  </si>
  <si>
    <t>Inputs</t>
  </si>
  <si>
    <t>M</t>
  </si>
  <si>
    <t>Azimuth</t>
  </si>
  <si>
    <t>Altitude</t>
  </si>
  <si>
    <t>Difficulty</t>
  </si>
  <si>
    <t>RA</t>
  </si>
  <si>
    <t>Decl</t>
  </si>
  <si>
    <t>HA</t>
  </si>
  <si>
    <t>Date</t>
  </si>
  <si>
    <t>M1</t>
  </si>
  <si>
    <t>Crab Nebula</t>
  </si>
  <si>
    <t>Moderate</t>
  </si>
  <si>
    <t>Time</t>
  </si>
  <si>
    <t>M2</t>
  </si>
  <si>
    <t/>
  </si>
  <si>
    <t>Easy</t>
  </si>
  <si>
    <t>Timezone</t>
  </si>
  <si>
    <t>M3</t>
  </si>
  <si>
    <t>Leap year?</t>
  </si>
  <si>
    <t>M4</t>
  </si>
  <si>
    <t>Spider Globular</t>
  </si>
  <si>
    <t>Hard</t>
  </si>
  <si>
    <t>Day nr.</t>
  </si>
  <si>
    <t>M5</t>
  </si>
  <si>
    <t>Rose Cluster</t>
  </si>
  <si>
    <t>Very Easy</t>
  </si>
  <si>
    <t>Weekday</t>
  </si>
  <si>
    <t>M6</t>
  </si>
  <si>
    <t>Butterfly Cluster</t>
  </si>
  <si>
    <t>JDE</t>
  </si>
  <si>
    <t>M7</t>
  </si>
  <si>
    <t>Ptolemy's Cluster</t>
  </si>
  <si>
    <t>Delta days</t>
  </si>
  <si>
    <t>M8</t>
  </si>
  <si>
    <t>Lagoon Nebula</t>
  </si>
  <si>
    <t>φ    (latitude)</t>
  </si>
  <si>
    <t>M9</t>
  </si>
  <si>
    <t>L     (longitude)</t>
  </si>
  <si>
    <t>M10</t>
  </si>
  <si>
    <t>UT  (hours)</t>
  </si>
  <si>
    <t>M11</t>
  </si>
  <si>
    <t>Wild Duck Cluster</t>
  </si>
  <si>
    <t>LST (degrees)</t>
  </si>
  <si>
    <t>M12</t>
  </si>
  <si>
    <t>Gumball Globular</t>
  </si>
  <si>
    <t>M13</t>
  </si>
  <si>
    <t>(Great) Hercules Globular Cluster</t>
  </si>
  <si>
    <t>M14</t>
  </si>
  <si>
    <t>M15</t>
  </si>
  <si>
    <t>Great Pegasus Cluster</t>
  </si>
  <si>
    <t>M16</t>
  </si>
  <si>
    <t>Eagle Nebula Cluster</t>
  </si>
  <si>
    <t>M17</t>
  </si>
  <si>
    <t>Omega, Swan, Horseshoe, Lobster Nebula</t>
  </si>
  <si>
    <t>M18</t>
  </si>
  <si>
    <t>Black Swan Cluster</t>
  </si>
  <si>
    <t>M19</t>
  </si>
  <si>
    <t>M20</t>
  </si>
  <si>
    <t>Trifid Nebula</t>
  </si>
  <si>
    <t>Very Hard</t>
  </si>
  <si>
    <t>M21</t>
  </si>
  <si>
    <t>Webb's Cross Cluster</t>
  </si>
  <si>
    <t>M22</t>
  </si>
  <si>
    <t>(Great) Sagittarius Cluster</t>
  </si>
  <si>
    <t>M23</t>
  </si>
  <si>
    <t>M24</t>
  </si>
  <si>
    <t>(Small) Sagittarius Star Cloud, Milky Way Patch</t>
  </si>
  <si>
    <t>M25</t>
  </si>
  <si>
    <t>IC 4725</t>
  </si>
  <si>
    <t>M26</t>
  </si>
  <si>
    <t>M27</t>
  </si>
  <si>
    <t>Dumbbell Nebula, Apple Core Nebula</t>
  </si>
  <si>
    <t>M28</t>
  </si>
  <si>
    <t>M29</t>
  </si>
  <si>
    <t>Cooling Tower</t>
  </si>
  <si>
    <t>M30</t>
  </si>
  <si>
    <t>Jellyfish Cluster</t>
  </si>
  <si>
    <t>M31</t>
  </si>
  <si>
    <t>Andromeda Galaxy</t>
  </si>
  <si>
    <t>M32</t>
  </si>
  <si>
    <t>"Le Gentil" (Satellite of M31)</t>
  </si>
  <si>
    <t>M33</t>
  </si>
  <si>
    <t>Triangulum/Pinwheel Galaxy</t>
  </si>
  <si>
    <t>M34</t>
  </si>
  <si>
    <t>Spiral Cluster</t>
  </si>
  <si>
    <t>M35</t>
  </si>
  <si>
    <t>Shoe-Buckle Cluster</t>
  </si>
  <si>
    <t>M36</t>
  </si>
  <si>
    <t>Pinwheel Cluster</t>
  </si>
  <si>
    <t>M37</t>
  </si>
  <si>
    <t>Salt and Pepper Cluster</t>
  </si>
  <si>
    <t>M38</t>
  </si>
  <si>
    <t>Starfish Cluster</t>
  </si>
  <si>
    <t>M39</t>
  </si>
  <si>
    <t>M40</t>
  </si>
  <si>
    <t>Winecke 4</t>
  </si>
  <si>
    <t>M41</t>
  </si>
  <si>
    <t>Little Beehive Cluster</t>
  </si>
  <si>
    <t>M42</t>
  </si>
  <si>
    <t>(Great) Orion Nebula</t>
  </si>
  <si>
    <t>M43</t>
  </si>
  <si>
    <t>De Mairan's Nebula</t>
  </si>
  <si>
    <t>M44</t>
  </si>
  <si>
    <t>Beehive Cluster (The Manger, The Praesepe)</t>
  </si>
  <si>
    <t>M45</t>
  </si>
  <si>
    <t>Pleiades, Subaru, Seven Sisters</t>
  </si>
  <si>
    <t>M46</t>
  </si>
  <si>
    <t>M47</t>
  </si>
  <si>
    <t>M48</t>
  </si>
  <si>
    <t>M49</t>
  </si>
  <si>
    <t>M50</t>
  </si>
  <si>
    <t>Heart-Shaped Cluster</t>
  </si>
  <si>
    <t>M51</t>
  </si>
  <si>
    <t>Whirlpool Galaxy</t>
  </si>
  <si>
    <t>M52</t>
  </si>
  <si>
    <t>Scorpion Cluster (Cassiopeia Salt-and-Pepper)</t>
  </si>
  <si>
    <t>M53</t>
  </si>
  <si>
    <t>M54</t>
  </si>
  <si>
    <t>M55</t>
  </si>
  <si>
    <t>Specter Cluster, Summer Rose (Star)</t>
  </si>
  <si>
    <t>M56</t>
  </si>
  <si>
    <t>M57</t>
  </si>
  <si>
    <t>Ring Nebula</t>
  </si>
  <si>
    <t>M58</t>
  </si>
  <si>
    <t>M59</t>
  </si>
  <si>
    <t>M60</t>
  </si>
  <si>
    <t>M61</t>
  </si>
  <si>
    <t>Swelling Spiral</t>
  </si>
  <si>
    <t>M62</t>
  </si>
  <si>
    <t>Flickering Globular</t>
  </si>
  <si>
    <t>M63</t>
  </si>
  <si>
    <t>Sunflower Galaxy</t>
  </si>
  <si>
    <t>M64</t>
  </si>
  <si>
    <t>Black Eye Galaxy</t>
  </si>
  <si>
    <t>M65</t>
  </si>
  <si>
    <t>Leo Triplet</t>
  </si>
  <si>
    <t>M66</t>
  </si>
  <si>
    <t>M67</t>
  </si>
  <si>
    <t>King Cobra Cluster</t>
  </si>
  <si>
    <t>M68</t>
  </si>
  <si>
    <t>M69</t>
  </si>
  <si>
    <t>M70</t>
  </si>
  <si>
    <t>M71</t>
  </si>
  <si>
    <t>Angelfish Cluster</t>
  </si>
  <si>
    <t>M72</t>
  </si>
  <si>
    <t>M73</t>
  </si>
  <si>
    <t>Group of 4 stars</t>
  </si>
  <si>
    <t>M74</t>
  </si>
  <si>
    <t>Phantom Nebula/Cluster/Galaxy</t>
  </si>
  <si>
    <t>M75</t>
  </si>
  <si>
    <t>M76</t>
  </si>
  <si>
    <t>Little Dumbbell, Cork, Butterfly Nebula</t>
  </si>
  <si>
    <t>M77</t>
  </si>
  <si>
    <t>Cetus A, Squid Galaxy</t>
  </si>
  <si>
    <t>M78</t>
  </si>
  <si>
    <t>Casper (the Friendly) Ghost Nebula</t>
  </si>
  <si>
    <t>M79</t>
  </si>
  <si>
    <t>M80</t>
  </si>
  <si>
    <t>M81</t>
  </si>
  <si>
    <t>Bode's Galaxy</t>
  </si>
  <si>
    <t>M82</t>
  </si>
  <si>
    <t>Cigar Galaxy</t>
  </si>
  <si>
    <t>M83</t>
  </si>
  <si>
    <t>Southern Pinwheel Galaxy</t>
  </si>
  <si>
    <t>M84</t>
  </si>
  <si>
    <t>M85</t>
  </si>
  <si>
    <t>M86</t>
  </si>
  <si>
    <t>M87</t>
  </si>
  <si>
    <t>Virgo A, Smoking Gun Galaxy</t>
  </si>
  <si>
    <t>M88</t>
  </si>
  <si>
    <t>M89</t>
  </si>
  <si>
    <t>M90</t>
  </si>
  <si>
    <t>M91</t>
  </si>
  <si>
    <t>M92</t>
  </si>
  <si>
    <t>M93</t>
  </si>
  <si>
    <t>Critter, Butterfly Cluster</t>
  </si>
  <si>
    <t>M94</t>
  </si>
  <si>
    <t>Cat's (Crocodile's) Eye Galaxy</t>
  </si>
  <si>
    <t>M95</t>
  </si>
  <si>
    <t>M96</t>
  </si>
  <si>
    <t>M97</t>
  </si>
  <si>
    <t>Owl Nebula</t>
  </si>
  <si>
    <t>M98</t>
  </si>
  <si>
    <t>M99</t>
  </si>
  <si>
    <t>Coma Pinwheel Galaxy, St. Catherine's Wheel</t>
  </si>
  <si>
    <t>M100</t>
  </si>
  <si>
    <t>Mirror Galaxy</t>
  </si>
  <si>
    <t>M101</t>
  </si>
  <si>
    <t>Pinwheel Galaxy</t>
  </si>
  <si>
    <t>M102</t>
  </si>
  <si>
    <t>Spindle Galaxy</t>
  </si>
  <si>
    <t>M103</t>
  </si>
  <si>
    <t>M104</t>
  </si>
  <si>
    <t>Sombrero Galaxy</t>
  </si>
  <si>
    <t>M105</t>
  </si>
  <si>
    <t>M106</t>
  </si>
  <si>
    <t>M107</t>
  </si>
  <si>
    <t>Crucifix Cluster</t>
  </si>
  <si>
    <t>M108</t>
  </si>
  <si>
    <t>Surfboard Galaxy</t>
  </si>
  <si>
    <t>M109</t>
  </si>
  <si>
    <t>Vacuum Cleaner Galaxy</t>
  </si>
  <si>
    <t>M110</t>
  </si>
  <si>
    <t>Edward Young Star (Satellite of M31)</t>
  </si>
  <si>
    <t>The Messier list starts with 103 deep-sky objects by the 18th century French astronomer Charles Messier. Eventually, seven additions were made in the 20th century, bring the list up to 110 objects. Messier objects are easily observed with a small telescope. And a few are visible using only binoculars or even just the eye alone.This spreadsheet enables one to specify date/time/timezone and limits regarding the field of view (azimuth, altitude). The Messier objects that are visible will be highlighted.</t>
  </si>
  <si>
    <t>Source</t>
  </si>
  <si>
    <t>Common Name</t>
  </si>
  <si>
    <t>Type</t>
  </si>
  <si>
    <t>Description</t>
  </si>
  <si>
    <t>Example</t>
  </si>
  <si>
    <t>Picture</t>
  </si>
  <si>
    <t>Supernova Remnant</t>
  </si>
  <si>
    <t>A supernova remnant (SNR) is the structure resulting from the explosion of a star in a supernova. The supernova remnant is bounded by an expanding shock wave, and consists of ejected material expanding from the explosion, and the interstellar material it sweeps up and shocks along the way.</t>
  </si>
  <si>
    <t>Globular Cluster</t>
  </si>
  <si>
    <t>A globular cluster is a spheroidal conglomeration of stars that is bound together by gravity, with a higher concentration of stars towards their centers. They can contain anywhere from tens of thousands to many millions of member stars, all orbiting in a stable, compact formation. Globular clusters are similar in form to dwarf spheroidal galaxies, and the distinction between the two is not always clear.</t>
  </si>
  <si>
    <t>Open Cluster</t>
  </si>
  <si>
    <t xml:space="preserve">An open cluster is a type of star cluster made of tens to a few thousand stars that were formed from the same giant molecular cloud and have roughly the same age. More than 1'100 open clusters have been discovered within the Milky Way galaxy, and many more are thought to exist. They are loosely bound by mutual gravitational attraction and become disrupted by close encounters with other clusters and clouds of gas as they orbit the Galactic Center. </t>
  </si>
  <si>
    <t>Diffuse Nebula</t>
  </si>
  <si>
    <t>Diffuse nebula are the clouds of material formed from the explosions of population three, population two stars, and the left over hydrogen and helium from the Big Bang. As a galaxy rotates like the Milky way, large densities of gas and dust build up in the spiral arms. When this happens, the dust and gas condense into giant clouds like the Orion Nebula. As they start to condense further, in some spots in the nebula, stars begin to form.</t>
  </si>
  <si>
    <t>Star Cloud</t>
  </si>
  <si>
    <t>A star cloud is an enormous aggregation of stars forming one of the units comprising the nucleus or a spiral arm of a spiral galaxy. Such a large group of many stars spread over very many light-years of space; the stars are not part of any structure but are in an area of greater than average stellar density.</t>
  </si>
  <si>
    <t>Planetary Nebula</t>
  </si>
  <si>
    <t xml:space="preserve">A planetary nebula is a type of emission nebula consisting of an expanding, glowing shell of ionized gas ejected from red giant stars late in their lives. The term "planetary nebula" is a misnomer because they are unrelated to planets. The term originates from the planet-like round shape of these nebulae observed by astronomers through early telescopes. </t>
  </si>
  <si>
    <t>Spiral Galaxy</t>
  </si>
  <si>
    <t>Spiral galaxies form a class of galaxy originally described by Edwin Hubble in his 1936 work "The Realm of the Nebula" and, as such, form part of the Hubble sequence. Most spiral galaxies consist of a flat, rotating disk containing stars, gas and dust, and a central concentration of stars known as the bulge. These are often surrounded by a much fainter halo of stars, many of which reside in globular clusters.</t>
  </si>
  <si>
    <t>Elliptical Galaxy</t>
  </si>
  <si>
    <t>An elliptical galaxy is a type of galaxy (also described by Edwin Hubble) with an approximately ellipsoidal shape and a smooth, nearly featureless image, along with spiral and lenticular galaxies. Elliptical (E) galaxies are, together with lenticular galaxies (S0) with their large-scale disks, and ES galaxies with their intermediate scale disks, a subset of the "early-type" galaxy population.</t>
  </si>
  <si>
    <t>Double Star</t>
  </si>
  <si>
    <t>A double star or visual double is a pair of stars that appear close to each other as viewed from Earth, especially with the aid of optical telescopes. This occurs because the pair either forms a binary star (i.e. a binary system of stars in mutual orbit, gravitationally bound to each other) or is an optical double, a chance line-of-sight alignment of two stars at different distances from the observer.</t>
  </si>
  <si>
    <t>Group/Asterism</t>
  </si>
  <si>
    <t>An asterism is an observed pattern or group of stars in the sky. Asterisms can be any identified pattern or group of stars, and therefore are a more general concept than the 88 formally defined constellations. Constellations are based on asterisms, but unlike asterisms, constellations outline and today completely divide the sky and all its celestial objects into regions around their central asterisms.</t>
  </si>
  <si>
    <t>Irregular Galaxy</t>
  </si>
  <si>
    <t>An irregular galaxy is a galaxy that does not have a distinct regular shape, unlike a spiral or an elliptical galaxy. Irregular galaxies do not fall into any of the regular classes of the Hubble sequence, and they are often chaotic in appearance, with neither a nuclear bulge nor any trace of spiral arm structure.</t>
  </si>
  <si>
    <t>Lenticular (S0) Galaxy</t>
  </si>
  <si>
    <t>A lenticular galaxy (denoted S0) is a type of galaxy intermediate between an elliptical (denoted E) and a spiral galaxy in galaxy morphological classification schemes. It contains a large-scale disc but does not have large-scale spiral arms. Lenticular galaxies are disc galaxies that have used up or lost most of their interstellar matter and therefore have very little ongoing star formation</t>
  </si>
  <si>
    <t>Date, time, location</t>
  </si>
  <si>
    <t>Field of view limits (azimuth, altitude)</t>
  </si>
  <si>
    <t>Visible objects (based on criteria)</t>
  </si>
  <si>
    <t>Location</t>
  </si>
  <si>
    <t>Home</t>
  </si>
  <si>
    <t>Marker name</t>
  </si>
  <si>
    <t>Observed?</t>
  </si>
  <si>
    <t>values</t>
  </si>
  <si>
    <t>x</t>
  </si>
  <si>
    <t>Can for instance be used to indicate whether an object is of special interest</t>
  </si>
  <si>
    <t>-</t>
  </si>
  <si>
    <t>Locations</t>
  </si>
  <si>
    <t>Name</t>
  </si>
  <si>
    <t>φ (latitude)</t>
  </si>
  <si>
    <t>L (longitude)</t>
  </si>
  <si>
    <t>DtoR</t>
  </si>
  <si>
    <t>Angle</t>
  </si>
  <si>
    <t>T</t>
  </si>
  <si>
    <t># points</t>
  </si>
  <si>
    <t>dgr</t>
  </si>
  <si>
    <t>D</t>
  </si>
  <si>
    <t>stepsize</t>
  </si>
  <si>
    <t>cos</t>
  </si>
  <si>
    <t>minor semi axis</t>
  </si>
  <si>
    <t>M'</t>
  </si>
  <si>
    <t>major semi axis</t>
  </si>
  <si>
    <t>i</t>
  </si>
  <si>
    <t>k</t>
  </si>
  <si>
    <t>ellipse</t>
  </si>
  <si>
    <t>black bottom</t>
  </si>
  <si>
    <t>transparent</t>
  </si>
  <si>
    <t>black top</t>
  </si>
  <si>
    <r>
      <t>JDE</t>
    </r>
    <r>
      <rPr>
        <vertAlign val="subscript"/>
        <sz val="12"/>
        <rFont val="Calibri"/>
        <family val="2"/>
      </rPr>
      <t>new moon</t>
    </r>
  </si>
  <si>
    <t>reference date (08.05.2024)</t>
  </si>
  <si>
    <t>delta</t>
  </si>
  <si>
    <t>angle</t>
  </si>
  <si>
    <t>New moon</t>
  </si>
  <si>
    <t>Waxing crescent</t>
  </si>
  <si>
    <t>First quarter</t>
  </si>
  <si>
    <t>Waxing gibbous</t>
  </si>
  <si>
    <t>Full moon</t>
  </si>
  <si>
    <t>Waning gibbous</t>
  </si>
  <si>
    <t>Last quarter</t>
  </si>
  <si>
    <t>Waning crescent</t>
  </si>
  <si>
    <t>include?</t>
  </si>
  <si>
    <t>yes</t>
  </si>
  <si>
    <t>no</t>
  </si>
  <si>
    <t>V1.2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</si>
</sst>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
    <numFmt numFmtId="165" formatCode="#,##0.000"/>
    <numFmt numFmtId="166" formatCode="0.0000"/>
  </numFmts>
  <fonts count="38">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1"/>
      <color theme="10"/>
      <name val="Calibri"/>
      <family val="2"/>
      <scheme val="minor"/>
    </font>
    <font>
      <u/>
      <sz val="11"/>
      <color theme="11"/>
      <name val="Calibri"/>
      <family val="2"/>
      <scheme val="minor"/>
    </font>
    <font>
      <u/>
      <sz val="12"/>
      <color theme="10"/>
      <name val="Calibri"/>
      <family val="2"/>
      <scheme val="minor"/>
    </font>
    <font>
      <i/>
      <sz val="14"/>
      <color theme="0"/>
      <name val="Calibri"/>
      <family val="2"/>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
      <sz val="12"/>
      <color theme="1"/>
      <name val="Calibri"/>
      <family val="2"/>
    </font>
    <font>
      <b/>
      <sz val="12"/>
      <color theme="1"/>
      <name val="Calibri"/>
      <family val="2"/>
    </font>
    <font>
      <sz val="14"/>
      <color theme="0"/>
      <name val="Calibri"/>
      <family val="2"/>
    </font>
    <font>
      <sz val="12"/>
      <color rgb="FF000000"/>
      <name val="Calibri"/>
      <family val="2"/>
      <scheme val="minor"/>
    </font>
    <font>
      <sz val="12"/>
      <color rgb="FF000000"/>
      <name val="Calibri"/>
      <family val="2"/>
    </font>
    <font>
      <sz val="11"/>
      <name val="ＭＳ Ｐゴシック"/>
      <family val="2"/>
      <charset val="128"/>
    </font>
    <font>
      <sz val="12"/>
      <name val="Calibri"/>
      <family val="2"/>
    </font>
    <font>
      <b/>
      <sz val="12"/>
      <name val="Calibri"/>
      <family val="2"/>
    </font>
    <font>
      <sz val="12"/>
      <color rgb="FF202122"/>
      <name val="Calibri"/>
      <family val="2"/>
    </font>
    <font>
      <u/>
      <sz val="14"/>
      <color theme="10"/>
      <name val="Calibri"/>
      <family val="2"/>
      <scheme val="minor"/>
    </font>
    <font>
      <sz val="12"/>
      <color theme="0"/>
      <name val="Calibri (Body)"/>
    </font>
    <font>
      <sz val="12"/>
      <color theme="1"/>
      <name val="Calibri (Body)"/>
    </font>
    <font>
      <b/>
      <sz val="12"/>
      <color theme="0"/>
      <name val="Calibri"/>
      <family val="2"/>
      <scheme val="minor"/>
    </font>
    <font>
      <b/>
      <sz val="14"/>
      <color theme="1"/>
      <name val="Calibri"/>
      <family val="2"/>
      <scheme val="minor"/>
    </font>
    <font>
      <sz val="10"/>
      <color theme="1"/>
      <name val="Calibri"/>
      <family val="2"/>
      <scheme val="minor"/>
    </font>
    <font>
      <b/>
      <sz val="12"/>
      <color theme="1"/>
      <name val="Calibri"/>
      <family val="2"/>
      <scheme val="minor"/>
    </font>
    <font>
      <sz val="10"/>
      <name val="Arial"/>
      <family val="2"/>
    </font>
    <font>
      <sz val="9"/>
      <color theme="1"/>
      <name val="Calibri"/>
      <family val="2"/>
      <scheme val="minor"/>
    </font>
    <font>
      <sz val="11"/>
      <color theme="1"/>
      <name val="Calibri"/>
      <family val="2"/>
      <charset val="238"/>
      <scheme val="minor"/>
    </font>
    <font>
      <vertAlign val="subscript"/>
      <sz val="12"/>
      <name val="Calibri"/>
      <family val="2"/>
    </font>
    <font>
      <sz val="12"/>
      <color theme="0"/>
      <name val="Calibri"/>
      <family val="2"/>
      <scheme val="minor"/>
    </font>
  </fonts>
  <fills count="9">
    <fill>
      <patternFill patternType="none"/>
    </fill>
    <fill>
      <patternFill patternType="gray125"/>
    </fill>
    <fill>
      <patternFill patternType="solid">
        <fgColor theme="1"/>
        <bgColor indexed="64"/>
      </patternFill>
    </fill>
    <fill>
      <patternFill patternType="solid">
        <fgColor rgb="FFFFC000"/>
        <bgColor indexed="64"/>
      </patternFill>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s>
  <borders count="1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auto="1"/>
      </left>
      <right style="thin">
        <color indexed="64"/>
      </right>
      <top/>
      <bottom style="thin">
        <color indexed="64"/>
      </bottom>
      <diagonal/>
    </border>
  </borders>
  <cellStyleXfs count="51">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6" fillId="0" borderId="0"/>
    <xf numFmtId="0" fontId="9" fillId="0" borderId="0" applyNumberFormat="0" applyFill="0" applyBorder="0" applyAlignment="0" applyProtection="0"/>
    <xf numFmtId="0" fontId="5" fillId="0" borderId="0"/>
    <xf numFmtId="0" fontId="22" fillId="0" borderId="0"/>
    <xf numFmtId="0" fontId="4" fillId="0" borderId="0"/>
    <xf numFmtId="0" fontId="3" fillId="0" borderId="0"/>
    <xf numFmtId="0" fontId="33" fillId="0" borderId="0"/>
    <xf numFmtId="0" fontId="34" fillId="0" borderId="0"/>
    <xf numFmtId="0" fontId="1" fillId="0" borderId="0"/>
    <xf numFmtId="0" fontId="35" fillId="0" borderId="0"/>
  </cellStyleXfs>
  <cellXfs count="178">
    <xf numFmtId="0" fontId="0" fillId="0" borderId="0" xfId="0"/>
    <xf numFmtId="0" fontId="11" fillId="2" borderId="1" xfId="41" applyFont="1" applyFill="1" applyBorder="1" applyAlignment="1">
      <alignment horizontal="left"/>
    </xf>
    <xf numFmtId="0" fontId="11" fillId="2" borderId="2" xfId="41" applyFont="1" applyFill="1" applyBorder="1" applyAlignment="1">
      <alignment horizontal="center"/>
    </xf>
    <xf numFmtId="0" fontId="11" fillId="2" borderId="2" xfId="41" applyFont="1" applyFill="1" applyBorder="1"/>
    <xf numFmtId="0" fontId="13" fillId="2" borderId="3" xfId="42" applyFont="1" applyFill="1" applyBorder="1" applyAlignment="1">
      <alignment horizontal="center"/>
    </xf>
    <xf numFmtId="0" fontId="14" fillId="2" borderId="4" xfId="42" applyFont="1" applyFill="1" applyBorder="1" applyAlignment="1">
      <alignment horizontal="left"/>
    </xf>
    <xf numFmtId="0" fontId="11" fillId="2" borderId="0" xfId="41" applyFont="1" applyFill="1" applyAlignment="1">
      <alignment horizontal="center"/>
    </xf>
    <xf numFmtId="0" fontId="11" fillId="2" borderId="0" xfId="41" applyFont="1" applyFill="1"/>
    <xf numFmtId="0" fontId="11" fillId="2" borderId="5" xfId="41" applyFont="1" applyFill="1" applyBorder="1" applyAlignment="1">
      <alignment horizontal="center"/>
    </xf>
    <xf numFmtId="0" fontId="11" fillId="2" borderId="6" xfId="42" applyFont="1" applyFill="1" applyBorder="1" applyAlignment="1">
      <alignment horizontal="left"/>
    </xf>
    <xf numFmtId="0" fontId="11" fillId="2" borderId="8" xfId="42" applyFont="1" applyFill="1" applyBorder="1" applyAlignment="1">
      <alignment horizontal="left"/>
    </xf>
    <xf numFmtId="0" fontId="11" fillId="2" borderId="8" xfId="41" applyFont="1" applyFill="1" applyBorder="1"/>
    <xf numFmtId="0" fontId="12" fillId="2" borderId="7" xfId="41" applyFont="1" applyFill="1" applyBorder="1" applyAlignment="1">
      <alignment horizontal="center"/>
    </xf>
    <xf numFmtId="0" fontId="5" fillId="0" borderId="0" xfId="43"/>
    <xf numFmtId="0" fontId="5" fillId="0" borderId="0" xfId="43" applyAlignment="1">
      <alignment horizontal="center"/>
    </xf>
    <xf numFmtId="0" fontId="17" fillId="0" borderId="0" xfId="43" applyFont="1"/>
    <xf numFmtId="0" fontId="17" fillId="0" borderId="12" xfId="43" applyFont="1" applyBorder="1" applyAlignment="1">
      <alignment horizontal="right"/>
    </xf>
    <xf numFmtId="2" fontId="18" fillId="3" borderId="12" xfId="43" applyNumberFormat="1" applyFont="1" applyFill="1" applyBorder="1" applyAlignment="1" applyProtection="1">
      <alignment horizontal="right"/>
      <protection locked="0"/>
    </xf>
    <xf numFmtId="0" fontId="19" fillId="4" borderId="12" xfId="43" applyFont="1" applyFill="1" applyBorder="1" applyAlignment="1">
      <alignment horizontal="right" vertical="center"/>
    </xf>
    <xf numFmtId="0" fontId="17" fillId="0" borderId="12" xfId="43" applyFont="1" applyBorder="1"/>
    <xf numFmtId="0" fontId="17" fillId="0" borderId="0" xfId="43" applyFont="1" applyAlignment="1">
      <alignment horizontal="right"/>
    </xf>
    <xf numFmtId="0" fontId="20" fillId="0" borderId="12" xfId="43" applyFont="1" applyBorder="1" applyAlignment="1">
      <alignment horizontal="center"/>
    </xf>
    <xf numFmtId="2" fontId="5" fillId="0" borderId="12" xfId="43" applyNumberFormat="1" applyBorder="1"/>
    <xf numFmtId="0" fontId="21" fillId="0" borderId="12" xfId="43" applyFont="1" applyBorder="1" applyAlignment="1">
      <alignment horizontal="center"/>
    </xf>
    <xf numFmtId="2" fontId="21" fillId="0" borderId="12" xfId="43" applyNumberFormat="1" applyFont="1" applyBorder="1" applyAlignment="1">
      <alignment horizontal="right"/>
    </xf>
    <xf numFmtId="0" fontId="23" fillId="0" borderId="12" xfId="44" applyFont="1" applyBorder="1" applyAlignment="1">
      <alignment vertical="center"/>
    </xf>
    <xf numFmtId="0" fontId="25" fillId="0" borderId="12" xfId="43" applyFont="1" applyBorder="1" applyAlignment="1">
      <alignment vertical="center"/>
    </xf>
    <xf numFmtId="2" fontId="5" fillId="0" borderId="12" xfId="43" applyNumberFormat="1" applyBorder="1" applyAlignment="1">
      <alignment horizontal="right"/>
    </xf>
    <xf numFmtId="14" fontId="18" fillId="3" borderId="12" xfId="43" applyNumberFormat="1" applyFont="1" applyFill="1" applyBorder="1" applyAlignment="1" applyProtection="1">
      <alignment horizontal="right"/>
      <protection locked="0"/>
    </xf>
    <xf numFmtId="21" fontId="24" fillId="3" borderId="12" xfId="44" applyNumberFormat="1" applyFont="1" applyFill="1" applyBorder="1" applyAlignment="1" applyProtection="1">
      <alignment horizontal="right" vertical="center"/>
      <protection locked="0"/>
    </xf>
    <xf numFmtId="1" fontId="24" fillId="3" borderId="12" xfId="44" applyNumberFormat="1" applyFont="1" applyFill="1" applyBorder="1" applyAlignment="1" applyProtection="1">
      <alignment horizontal="right" vertical="center"/>
      <protection locked="0"/>
    </xf>
    <xf numFmtId="1" fontId="17" fillId="0" borderId="12" xfId="43" applyNumberFormat="1" applyFont="1" applyBorder="1" applyAlignment="1">
      <alignment horizontal="right"/>
    </xf>
    <xf numFmtId="0" fontId="26" fillId="0" borderId="0" xfId="42" applyFont="1"/>
    <xf numFmtId="0" fontId="4" fillId="0" borderId="0" xfId="45"/>
    <xf numFmtId="0" fontId="27" fillId="4" borderId="12" xfId="43" applyFont="1" applyFill="1" applyBorder="1" applyAlignment="1">
      <alignment horizontal="center" vertical="center"/>
    </xf>
    <xf numFmtId="0" fontId="27" fillId="4" borderId="12" xfId="43" applyFont="1" applyFill="1" applyBorder="1" applyAlignment="1">
      <alignment horizontal="right" vertical="center"/>
    </xf>
    <xf numFmtId="0" fontId="28" fillId="0" borderId="0" xfId="43" applyFont="1"/>
    <xf numFmtId="0" fontId="29" fillId="4" borderId="12" xfId="46" applyFont="1" applyFill="1" applyBorder="1" applyAlignment="1">
      <alignment horizontal="center"/>
    </xf>
    <xf numFmtId="0" fontId="29" fillId="4" borderId="12" xfId="46" applyFont="1" applyFill="1" applyBorder="1"/>
    <xf numFmtId="0" fontId="29" fillId="4" borderId="5" xfId="46" applyFont="1" applyFill="1" applyBorder="1" applyAlignment="1">
      <alignment horizontal="center"/>
    </xf>
    <xf numFmtId="0" fontId="3" fillId="0" borderId="0" xfId="46"/>
    <xf numFmtId="0" fontId="3" fillId="0" borderId="12" xfId="46" applyBorder="1" applyAlignment="1">
      <alignment horizontal="center" vertical="center" wrapText="1"/>
    </xf>
    <xf numFmtId="0" fontId="3" fillId="0" borderId="12" xfId="46" applyBorder="1" applyAlignment="1">
      <alignment horizontal="justify" vertical="center" wrapText="1"/>
    </xf>
    <xf numFmtId="0" fontId="3" fillId="0" borderId="0" xfId="46" applyAlignment="1">
      <alignment vertical="center" wrapText="1"/>
    </xf>
    <xf numFmtId="0" fontId="21" fillId="0" borderId="12" xfId="46" applyFont="1" applyBorder="1" applyAlignment="1">
      <alignment horizontal="center" vertical="center" wrapText="1"/>
    </xf>
    <xf numFmtId="0" fontId="3" fillId="0" borderId="0" xfId="46" applyAlignment="1">
      <alignment horizontal="center"/>
    </xf>
    <xf numFmtId="0" fontId="6" fillId="2" borderId="0" xfId="41" applyFill="1"/>
    <xf numFmtId="0" fontId="0" fillId="2" borderId="0" xfId="0" applyFill="1"/>
    <xf numFmtId="0" fontId="5" fillId="0" borderId="2" xfId="43" applyBorder="1"/>
    <xf numFmtId="0" fontId="5" fillId="0" borderId="4" xfId="43" applyBorder="1" applyAlignment="1">
      <alignment horizontal="center"/>
    </xf>
    <xf numFmtId="0" fontId="5" fillId="0" borderId="6" xfId="43" applyBorder="1" applyAlignment="1">
      <alignment horizontal="center"/>
    </xf>
    <xf numFmtId="0" fontId="5" fillId="0" borderId="8" xfId="43" applyBorder="1"/>
    <xf numFmtId="0" fontId="5" fillId="5" borderId="1" xfId="43" applyFill="1" applyBorder="1" applyAlignment="1">
      <alignment horizontal="center"/>
    </xf>
    <xf numFmtId="2" fontId="5" fillId="5" borderId="2" xfId="43" applyNumberFormat="1" applyFill="1" applyBorder="1"/>
    <xf numFmtId="0" fontId="21" fillId="0" borderId="3" xfId="43" applyFont="1" applyBorder="1" applyAlignment="1">
      <alignment horizontal="center"/>
    </xf>
    <xf numFmtId="2" fontId="5" fillId="0" borderId="0" xfId="43" applyNumberFormat="1"/>
    <xf numFmtId="0" fontId="21" fillId="0" borderId="5" xfId="43" applyFont="1" applyBorder="1" applyAlignment="1">
      <alignment horizontal="center"/>
    </xf>
    <xf numFmtId="2" fontId="5" fillId="0" borderId="8" xfId="43" applyNumberFormat="1" applyBorder="1"/>
    <xf numFmtId="0" fontId="21" fillId="0" borderId="7" xfId="43" applyFont="1" applyBorder="1" applyAlignment="1">
      <alignment horizontal="center"/>
    </xf>
    <xf numFmtId="0" fontId="5" fillId="0" borderId="4" xfId="43" applyBorder="1"/>
    <xf numFmtId="0" fontId="18" fillId="3" borderId="7" xfId="43" applyFont="1" applyFill="1" applyBorder="1" applyAlignment="1">
      <alignment horizontal="right"/>
    </xf>
    <xf numFmtId="0" fontId="5" fillId="0" borderId="8" xfId="43" applyBorder="1" applyAlignment="1">
      <alignment horizontal="center"/>
    </xf>
    <xf numFmtId="0" fontId="17" fillId="0" borderId="12" xfId="0" applyFont="1" applyBorder="1"/>
    <xf numFmtId="0" fontId="18" fillId="3" borderId="16" xfId="0" applyFont="1" applyFill="1" applyBorder="1" applyAlignment="1" applyProtection="1">
      <alignment horizontal="right"/>
      <protection locked="0"/>
    </xf>
    <xf numFmtId="0" fontId="27" fillId="4" borderId="17" xfId="43" applyFont="1" applyFill="1" applyBorder="1" applyAlignment="1">
      <alignment horizontal="center" vertical="center"/>
    </xf>
    <xf numFmtId="0" fontId="27" fillId="4" borderId="17" xfId="43" applyFont="1" applyFill="1" applyBorder="1" applyAlignment="1">
      <alignment horizontal="right" vertical="center"/>
    </xf>
    <xf numFmtId="4" fontId="17" fillId="0" borderId="12" xfId="43" applyNumberFormat="1" applyFont="1" applyBorder="1" applyAlignment="1">
      <alignment horizontal="right"/>
    </xf>
    <xf numFmtId="164" fontId="5" fillId="0" borderId="12" xfId="43" applyNumberFormat="1" applyBorder="1" applyAlignment="1">
      <alignment horizontal="right"/>
    </xf>
    <xf numFmtId="0" fontId="5" fillId="5" borderId="2" xfId="43" applyFill="1" applyBorder="1" applyAlignment="1">
      <alignment horizontal="center"/>
    </xf>
    <xf numFmtId="0" fontId="17" fillId="0" borderId="12" xfId="0" applyFont="1" applyBorder="1" applyAlignment="1">
      <alignment horizontal="center"/>
    </xf>
    <xf numFmtId="0" fontId="18" fillId="3" borderId="12" xfId="0" applyFont="1" applyFill="1" applyBorder="1" applyAlignment="1" applyProtection="1">
      <alignment horizontal="center"/>
      <protection locked="0"/>
    </xf>
    <xf numFmtId="0" fontId="18" fillId="3" borderId="13" xfId="0" applyFont="1" applyFill="1" applyBorder="1" applyAlignment="1" applyProtection="1">
      <alignment horizontal="center"/>
      <protection locked="0"/>
    </xf>
    <xf numFmtId="0" fontId="18" fillId="3" borderId="17" xfId="0" applyFont="1" applyFill="1" applyBorder="1" applyAlignment="1" applyProtection="1">
      <alignment horizontal="center"/>
      <protection locked="0"/>
    </xf>
    <xf numFmtId="0" fontId="18" fillId="3" borderId="18" xfId="0" applyFont="1" applyFill="1" applyBorder="1" applyAlignment="1" applyProtection="1">
      <alignment horizontal="center"/>
      <protection locked="0"/>
    </xf>
    <xf numFmtId="0" fontId="5" fillId="7" borderId="0" xfId="43" applyFill="1"/>
    <xf numFmtId="14" fontId="5" fillId="7" borderId="0" xfId="43" applyNumberFormat="1" applyFill="1"/>
    <xf numFmtId="0" fontId="5" fillId="7" borderId="0" xfId="43" applyFill="1" applyAlignment="1">
      <alignment horizontal="center"/>
    </xf>
    <xf numFmtId="21" fontId="5" fillId="7" borderId="0" xfId="43" applyNumberFormat="1" applyFill="1"/>
    <xf numFmtId="1" fontId="5" fillId="7" borderId="0" xfId="43" applyNumberFormat="1" applyFill="1"/>
    <xf numFmtId="0" fontId="5" fillId="7" borderId="6" xfId="43" applyFill="1" applyBorder="1" applyAlignment="1">
      <alignment horizontal="center"/>
    </xf>
    <xf numFmtId="0" fontId="5" fillId="7" borderId="8" xfId="43" applyFill="1" applyBorder="1" applyAlignment="1">
      <alignment horizontal="center"/>
    </xf>
    <xf numFmtId="0" fontId="5" fillId="7" borderId="8" xfId="43" applyFill="1" applyBorder="1"/>
    <xf numFmtId="0" fontId="5" fillId="7" borderId="7" xfId="43" applyFill="1" applyBorder="1" applyAlignment="1">
      <alignment horizontal="center"/>
    </xf>
    <xf numFmtId="0" fontId="17" fillId="7" borderId="4" xfId="43" applyFont="1" applyFill="1" applyBorder="1"/>
    <xf numFmtId="0" fontId="17" fillId="7" borderId="5" xfId="43" applyFont="1" applyFill="1" applyBorder="1"/>
    <xf numFmtId="0" fontId="5" fillId="7" borderId="4" xfId="43" applyFill="1" applyBorder="1"/>
    <xf numFmtId="0" fontId="5" fillId="7" borderId="5" xfId="43" applyFill="1" applyBorder="1"/>
    <xf numFmtId="0" fontId="5" fillId="7" borderId="6" xfId="43" applyFill="1" applyBorder="1"/>
    <xf numFmtId="0" fontId="5" fillId="7" borderId="7" xfId="43" applyFill="1" applyBorder="1"/>
    <xf numFmtId="0" fontId="20" fillId="0" borderId="12" xfId="43" applyFont="1" applyBorder="1" applyAlignment="1" applyProtection="1">
      <alignment horizontal="center"/>
      <protection locked="0"/>
    </xf>
    <xf numFmtId="0" fontId="30" fillId="0" borderId="0" xfId="43" applyFont="1" applyAlignment="1">
      <alignment horizontal="center"/>
    </xf>
    <xf numFmtId="0" fontId="18" fillId="0" borderId="0" xfId="43" applyFont="1" applyAlignment="1">
      <alignment horizontal="right"/>
    </xf>
    <xf numFmtId="14" fontId="18" fillId="0" borderId="0" xfId="43" applyNumberFormat="1" applyFont="1" applyAlignment="1" applyProtection="1">
      <alignment horizontal="right"/>
      <protection locked="0"/>
    </xf>
    <xf numFmtId="21" fontId="24" fillId="0" borderId="0" xfId="44" applyNumberFormat="1" applyFont="1" applyAlignment="1" applyProtection="1">
      <alignment horizontal="right" vertical="center"/>
      <protection locked="0"/>
    </xf>
    <xf numFmtId="1" fontId="24" fillId="0" borderId="0" xfId="44" applyNumberFormat="1" applyFont="1" applyAlignment="1" applyProtection="1">
      <alignment horizontal="right" vertical="center"/>
      <protection locked="0"/>
    </xf>
    <xf numFmtId="1" fontId="17" fillId="0" borderId="0" xfId="43" applyNumberFormat="1" applyFont="1" applyAlignment="1">
      <alignment horizontal="right"/>
    </xf>
    <xf numFmtId="4" fontId="17" fillId="0" borderId="0" xfId="43" applyNumberFormat="1" applyFont="1" applyAlignment="1">
      <alignment horizontal="right"/>
    </xf>
    <xf numFmtId="0" fontId="18" fillId="0" borderId="0" xfId="0" applyFont="1" applyAlignment="1" applyProtection="1">
      <alignment horizontal="right"/>
      <protection locked="0"/>
    </xf>
    <xf numFmtId="2" fontId="18" fillId="0" borderId="0" xfId="43" applyNumberFormat="1" applyFont="1" applyAlignment="1" applyProtection="1">
      <alignment horizontal="right"/>
      <protection locked="0"/>
    </xf>
    <xf numFmtId="2" fontId="5" fillId="0" borderId="0" xfId="43" applyNumberFormat="1" applyAlignment="1">
      <alignment horizontal="right"/>
    </xf>
    <xf numFmtId="0" fontId="18" fillId="0" borderId="0" xfId="0" applyFont="1" applyAlignment="1" applyProtection="1">
      <alignment horizontal="center"/>
      <protection locked="0"/>
    </xf>
    <xf numFmtId="0" fontId="2" fillId="0" borderId="12" xfId="43" applyFont="1" applyBorder="1" applyAlignment="1">
      <alignment vertical="center"/>
    </xf>
    <xf numFmtId="0" fontId="25" fillId="0" borderId="12" xfId="43" applyFont="1" applyBorder="1" applyAlignment="1">
      <alignment horizontal="right" vertical="center"/>
    </xf>
    <xf numFmtId="0" fontId="17" fillId="0" borderId="12" xfId="43" applyFont="1" applyBorder="1" applyAlignment="1">
      <alignment horizontal="right" vertical="center"/>
    </xf>
    <xf numFmtId="0" fontId="32" fillId="3" borderId="12" xfId="43" applyFont="1" applyFill="1" applyBorder="1" applyAlignment="1" applyProtection="1">
      <alignment vertical="center"/>
      <protection locked="0"/>
    </xf>
    <xf numFmtId="0" fontId="17" fillId="0" borderId="12" xfId="43" applyFont="1" applyBorder="1" applyAlignment="1">
      <alignment horizontal="center"/>
    </xf>
    <xf numFmtId="0" fontId="23" fillId="0" borderId="0" xfId="47" applyFont="1"/>
    <xf numFmtId="0" fontId="1" fillId="8" borderId="1" xfId="48" applyFont="1" applyFill="1" applyBorder="1"/>
    <xf numFmtId="0" fontId="1" fillId="8" borderId="3" xfId="48" applyFont="1" applyFill="1" applyBorder="1"/>
    <xf numFmtId="0" fontId="18" fillId="8" borderId="1" xfId="49" applyFont="1" applyFill="1" applyBorder="1" applyAlignment="1">
      <alignment horizontal="left"/>
    </xf>
    <xf numFmtId="165" fontId="17" fillId="8" borderId="2" xfId="49" applyNumberFormat="1" applyFont="1" applyFill="1" applyBorder="1"/>
    <xf numFmtId="0" fontId="17" fillId="8" borderId="2" xfId="50" applyFont="1" applyFill="1" applyBorder="1"/>
    <xf numFmtId="0" fontId="17" fillId="8" borderId="2" xfId="49" applyFont="1" applyFill="1" applyBorder="1"/>
    <xf numFmtId="0" fontId="17" fillId="8" borderId="3" xfId="50" applyFont="1" applyFill="1" applyBorder="1"/>
    <xf numFmtId="0" fontId="1" fillId="8" borderId="4" xfId="48" applyFont="1" applyFill="1" applyBorder="1"/>
    <xf numFmtId="0" fontId="1" fillId="8" borderId="5" xfId="48" applyFont="1" applyFill="1" applyBorder="1"/>
    <xf numFmtId="0" fontId="17" fillId="8" borderId="4" xfId="50" applyFont="1" applyFill="1" applyBorder="1"/>
    <xf numFmtId="0" fontId="17" fillId="8" borderId="0" xfId="50" applyFont="1" applyFill="1"/>
    <xf numFmtId="165" fontId="17" fillId="8" borderId="5" xfId="50" applyNumberFormat="1" applyFont="1" applyFill="1" applyBorder="1"/>
    <xf numFmtId="2" fontId="17" fillId="8" borderId="5" xfId="50" applyNumberFormat="1" applyFont="1" applyFill="1" applyBorder="1"/>
    <xf numFmtId="0" fontId="17" fillId="8" borderId="5" xfId="50" applyFont="1" applyFill="1" applyBorder="1"/>
    <xf numFmtId="0" fontId="17" fillId="8" borderId="6" xfId="50" applyFont="1" applyFill="1" applyBorder="1"/>
    <xf numFmtId="0" fontId="17" fillId="8" borderId="8" xfId="50" applyFont="1" applyFill="1" applyBorder="1"/>
    <xf numFmtId="0" fontId="17" fillId="8" borderId="7" xfId="50" applyFont="1" applyFill="1" applyBorder="1"/>
    <xf numFmtId="0" fontId="1" fillId="8" borderId="6" xfId="48" applyFont="1" applyFill="1" applyBorder="1"/>
    <xf numFmtId="0" fontId="1" fillId="8" borderId="7" xfId="48" applyFont="1" applyFill="1" applyBorder="1"/>
    <xf numFmtId="0" fontId="18" fillId="8" borderId="4" xfId="50" applyFont="1" applyFill="1" applyBorder="1" applyAlignment="1">
      <alignment horizontal="right"/>
    </xf>
    <xf numFmtId="0" fontId="18" fillId="8" borderId="0" xfId="50" applyFont="1" applyFill="1" applyAlignment="1">
      <alignment horizontal="right"/>
    </xf>
    <xf numFmtId="0" fontId="18" fillId="8" borderId="5" xfId="50" applyFont="1" applyFill="1" applyBorder="1" applyAlignment="1">
      <alignment horizontal="right"/>
    </xf>
    <xf numFmtId="2" fontId="17" fillId="8" borderId="4" xfId="50" applyNumberFormat="1" applyFont="1" applyFill="1" applyBorder="1"/>
    <xf numFmtId="2" fontId="17" fillId="8" borderId="0" xfId="50" applyNumberFormat="1" applyFont="1" applyFill="1"/>
    <xf numFmtId="0" fontId="31" fillId="0" borderId="0" xfId="0" applyFont="1"/>
    <xf numFmtId="0" fontId="23" fillId="8" borderId="1" xfId="47" applyFont="1" applyFill="1" applyBorder="1"/>
    <xf numFmtId="4" fontId="23" fillId="8" borderId="3" xfId="47" applyNumberFormat="1" applyFont="1" applyFill="1" applyBorder="1"/>
    <xf numFmtId="0" fontId="23" fillId="8" borderId="4" xfId="47" applyFont="1" applyFill="1" applyBorder="1"/>
    <xf numFmtId="0" fontId="23" fillId="8" borderId="5" xfId="47" applyFont="1" applyFill="1" applyBorder="1"/>
    <xf numFmtId="0" fontId="1" fillId="8" borderId="7" xfId="48" applyFont="1" applyFill="1" applyBorder="1" applyAlignment="1">
      <alignment horizontal="right"/>
    </xf>
    <xf numFmtId="0" fontId="1" fillId="8" borderId="1" xfId="0" applyFont="1" applyFill="1" applyBorder="1"/>
    <xf numFmtId="0" fontId="1" fillId="8" borderId="2" xfId="0" applyFont="1" applyFill="1" applyBorder="1"/>
    <xf numFmtId="0" fontId="1" fillId="8" borderId="3" xfId="0" applyFont="1" applyFill="1" applyBorder="1"/>
    <xf numFmtId="0" fontId="1" fillId="8" borderId="4" xfId="0" applyFont="1" applyFill="1" applyBorder="1"/>
    <xf numFmtId="0" fontId="1" fillId="8" borderId="0" xfId="0" applyFont="1" applyFill="1"/>
    <xf numFmtId="0" fontId="1" fillId="8" borderId="5" xfId="0" applyFont="1" applyFill="1" applyBorder="1"/>
    <xf numFmtId="0" fontId="1" fillId="8" borderId="6" xfId="0" applyFont="1" applyFill="1" applyBorder="1"/>
    <xf numFmtId="0" fontId="1" fillId="8" borderId="8" xfId="0" applyFont="1" applyFill="1" applyBorder="1"/>
    <xf numFmtId="0" fontId="1" fillId="8" borderId="7" xfId="0" applyFont="1" applyFill="1" applyBorder="1"/>
    <xf numFmtId="0" fontId="33" fillId="0" borderId="0" xfId="47"/>
    <xf numFmtId="2" fontId="17" fillId="8" borderId="6" xfId="50" applyNumberFormat="1" applyFont="1" applyFill="1" applyBorder="1"/>
    <xf numFmtId="2" fontId="17" fillId="8" borderId="8" xfId="50" applyNumberFormat="1" applyFont="1" applyFill="1" applyBorder="1"/>
    <xf numFmtId="2" fontId="17" fillId="8" borderId="7" xfId="50" applyNumberFormat="1" applyFont="1" applyFill="1" applyBorder="1"/>
    <xf numFmtId="9" fontId="32" fillId="7" borderId="5" xfId="43" applyNumberFormat="1" applyFont="1" applyFill="1" applyBorder="1" applyAlignment="1">
      <alignment horizontal="right"/>
    </xf>
    <xf numFmtId="0" fontId="32" fillId="7" borderId="5" xfId="43" applyFont="1" applyFill="1" applyBorder="1" applyAlignment="1">
      <alignment horizontal="right"/>
    </xf>
    <xf numFmtId="0" fontId="20" fillId="7" borderId="4" xfId="0" applyFont="1" applyFill="1" applyBorder="1"/>
    <xf numFmtId="0" fontId="17" fillId="0" borderId="6" xfId="43" applyFont="1" applyBorder="1"/>
    <xf numFmtId="166" fontId="32" fillId="3" borderId="12" xfId="43" applyNumberFormat="1" applyFont="1" applyFill="1" applyBorder="1" applyAlignment="1" applyProtection="1">
      <alignment vertical="center"/>
      <protection locked="0"/>
    </xf>
    <xf numFmtId="166" fontId="17" fillId="0" borderId="12" xfId="43" applyNumberFormat="1" applyFont="1" applyBorder="1" applyAlignment="1">
      <alignment horizontal="right" vertical="center"/>
    </xf>
    <xf numFmtId="0" fontId="17" fillId="0" borderId="12" xfId="0" applyFont="1" applyBorder="1" applyAlignment="1" applyProtection="1">
      <alignment horizontal="center"/>
      <protection locked="0"/>
    </xf>
    <xf numFmtId="0" fontId="37" fillId="0" borderId="0" xfId="43" applyFont="1"/>
    <xf numFmtId="0" fontId="20" fillId="0" borderId="0" xfId="0" applyFont="1" applyAlignment="1">
      <alignment horizontal="right"/>
    </xf>
    <xf numFmtId="0" fontId="10" fillId="2" borderId="0" xfId="41" applyFont="1" applyFill="1" applyAlignment="1">
      <alignment horizontal="center" vertical="center" wrapText="1"/>
    </xf>
    <xf numFmtId="0" fontId="15" fillId="2" borderId="1" xfId="42" applyFont="1" applyFill="1" applyBorder="1" applyAlignment="1">
      <alignment horizontal="center"/>
    </xf>
    <xf numFmtId="0" fontId="15" fillId="2" borderId="2" xfId="42" applyFont="1" applyFill="1" applyBorder="1" applyAlignment="1">
      <alignment horizontal="center"/>
    </xf>
    <xf numFmtId="0" fontId="15" fillId="2" borderId="9" xfId="42" applyFont="1" applyFill="1" applyBorder="1" applyAlignment="1">
      <alignment horizontal="center"/>
    </xf>
    <xf numFmtId="0" fontId="16" fillId="2" borderId="4" xfId="0" applyFont="1" applyFill="1" applyBorder="1" applyAlignment="1">
      <alignment horizontal="center"/>
    </xf>
    <xf numFmtId="0" fontId="16" fillId="2" borderId="0" xfId="0" applyFont="1" applyFill="1" applyAlignment="1">
      <alignment horizontal="center"/>
    </xf>
    <xf numFmtId="0" fontId="16" fillId="2" borderId="10" xfId="0" applyFont="1" applyFill="1" applyBorder="1" applyAlignment="1">
      <alignment horizontal="center"/>
    </xf>
    <xf numFmtId="0" fontId="16" fillId="2" borderId="6" xfId="0" applyFont="1" applyFill="1" applyBorder="1" applyAlignment="1">
      <alignment horizontal="center"/>
    </xf>
    <xf numFmtId="0" fontId="16" fillId="2" borderId="8" xfId="0" applyFont="1" applyFill="1" applyBorder="1" applyAlignment="1">
      <alignment horizontal="center"/>
    </xf>
    <xf numFmtId="0" fontId="16" fillId="2" borderId="11" xfId="0" applyFont="1" applyFill="1" applyBorder="1" applyAlignment="1">
      <alignment horizontal="center"/>
    </xf>
    <xf numFmtId="0" fontId="30" fillId="6" borderId="14" xfId="43" applyFont="1" applyFill="1" applyBorder="1" applyAlignment="1">
      <alignment horizontal="center"/>
    </xf>
    <xf numFmtId="0" fontId="30" fillId="6" borderId="15" xfId="43" applyFont="1" applyFill="1" applyBorder="1" applyAlignment="1">
      <alignment horizontal="center"/>
    </xf>
    <xf numFmtId="0" fontId="30" fillId="6" borderId="16" xfId="43" applyFont="1" applyFill="1" applyBorder="1" applyAlignment="1">
      <alignment horizontal="center"/>
    </xf>
    <xf numFmtId="0" fontId="2" fillId="0" borderId="8" xfId="43" applyFont="1" applyBorder="1" applyAlignment="1">
      <alignment horizontal="center" vertical="center"/>
    </xf>
    <xf numFmtId="0" fontId="31" fillId="0" borderId="17" xfId="43" applyFont="1" applyBorder="1" applyAlignment="1">
      <alignment horizontal="center" vertical="center" wrapText="1"/>
    </xf>
    <xf numFmtId="0" fontId="31" fillId="0" borderId="18" xfId="43" applyFont="1" applyBorder="1" applyAlignment="1">
      <alignment horizontal="center" vertical="center" wrapText="1"/>
    </xf>
    <xf numFmtId="0" fontId="5" fillId="0" borderId="14" xfId="43" applyBorder="1" applyAlignment="1">
      <alignment horizontal="center"/>
    </xf>
    <xf numFmtId="0" fontId="5" fillId="0" borderId="15" xfId="43" applyBorder="1" applyAlignment="1">
      <alignment horizontal="center"/>
    </xf>
    <xf numFmtId="0" fontId="5" fillId="0" borderId="16" xfId="43" applyBorder="1" applyAlignment="1">
      <alignment horizontal="center"/>
    </xf>
  </cellXfs>
  <cellStyles count="5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2" xfId="42" xr:uid="{C380AA0A-E10B-1C43-9286-02819B081BC7}"/>
    <cellStyle name="Normal" xfId="0" builtinId="0"/>
    <cellStyle name="Normal 2" xfId="41" xr:uid="{0D0AB34C-A1A9-7D42-A14C-E95ACB658DC4}"/>
    <cellStyle name="Normal 3" xfId="43" xr:uid="{D0C399E2-A941-AA4F-B42F-87A7CE497740}"/>
    <cellStyle name="Normal 3 2" xfId="44" xr:uid="{053FA022-145E-5B4C-8FD3-7620CDCF3F7A}"/>
    <cellStyle name="Normal 3 3" xfId="50" xr:uid="{708BE614-6D39-854D-A235-370F18F21E51}"/>
    <cellStyle name="Normal 4" xfId="45" xr:uid="{0E1916BE-0CB3-DE44-BD3A-C9A53A0F672B}"/>
    <cellStyle name="Normal 5" xfId="46" xr:uid="{A901F684-D9BA-CF40-B9E1-7D5772B29AA8}"/>
    <cellStyle name="Normal 5 2" xfId="48" xr:uid="{29FA32B5-C2CB-9E4E-8A41-E581CA500557}"/>
    <cellStyle name="Normal 6 2" xfId="47" xr:uid="{E0E21CBE-15DC-064D-AB7B-B8DDE7B59FE6}"/>
    <cellStyle name="Normal 7" xfId="49" xr:uid="{73972C22-0111-6A4F-A4D0-DC72CB1D4739}"/>
  </cellStyles>
  <dxfs count="13">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50"/>
        </patternFill>
      </fill>
    </dxf>
    <dxf>
      <font>
        <color rgb="FF006100"/>
      </font>
      <fill>
        <patternFill>
          <bgColor rgb="FFC6EFCE"/>
        </patternFill>
      </fill>
    </dxf>
    <dxf>
      <font>
        <color rgb="FF006100"/>
      </font>
      <fill>
        <patternFill>
          <bgColor rgb="FFC6EFCE"/>
        </patternFill>
      </fill>
    </dxf>
    <dxf>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_rels/chart1.xml.rels><?xml version="1.0" encoding="UTF-8" standalone="yes"?>
<Relationships xmlns="http://schemas.openxmlformats.org/package/2006/relationships"><Relationship Id="rId3" Type="http://schemas.openxmlformats.org/officeDocument/2006/relationships/image" Target="../media/image3.jpg"/><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011282171818074E-2"/>
          <c:y val="5.8632036667058407E-3"/>
          <c:w val="0.97273465049997587"/>
          <c:h val="0.98626932728264161"/>
        </c:manualLayout>
      </c:layout>
      <c:areaChart>
        <c:grouping val="stacked"/>
        <c:varyColors val="0"/>
        <c:ser>
          <c:idx val="2"/>
          <c:order val="0"/>
          <c:tx>
            <c:strRef>
              <c:f>Illumination!$H$8</c:f>
              <c:strCache>
                <c:ptCount val="1"/>
                <c:pt idx="0">
                  <c:v>black bottom</c:v>
                </c:pt>
              </c:strCache>
            </c:strRef>
          </c:tx>
          <c:spPr>
            <a:solidFill>
              <a:schemeClr val="tx1"/>
            </a:solidFill>
            <a:ln w="9525">
              <a:solidFill>
                <a:schemeClr val="tx1"/>
              </a:solidFill>
            </a:ln>
            <a:effectLst/>
          </c:spPr>
          <c:val>
            <c:numRef>
              <c:f>Illumination!$H$9:$H$209</c:f>
              <c:numCache>
                <c:formatCode>0.00</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0-3048-834D-B67D-4F846CEC1E6B}"/>
            </c:ext>
          </c:extLst>
        </c:ser>
        <c:ser>
          <c:idx val="0"/>
          <c:order val="1"/>
          <c:tx>
            <c:strRef>
              <c:f>Illumination!$I$8</c:f>
              <c:strCache>
                <c:ptCount val="1"/>
                <c:pt idx="0">
                  <c:v>transparent</c:v>
                </c:pt>
              </c:strCache>
            </c:strRef>
          </c:tx>
          <c:spPr>
            <a:noFill/>
            <a:ln w="25400">
              <a:noFill/>
            </a:ln>
            <a:effectLst/>
          </c:spPr>
          <c:val>
            <c:numRef>
              <c:f>Illumination!$I$9:$I$209</c:f>
              <c:numCache>
                <c:formatCode>0.00</c:formatCode>
                <c:ptCount val="20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6.8693071529901673E-5</c:v>
                </c:pt>
                <c:pt idx="102">
                  <c:v>2.7480060632978365E-4</c:v>
                </c:pt>
                <c:pt idx="103">
                  <c:v>6.1840762344145261E-4</c:v>
                </c:pt>
                <c:pt idx="104">
                  <c:v>1.0996560162496172E-3</c:v>
                </c:pt>
                <c:pt idx="105">
                  <c:v>1.718744845942477E-3</c:v>
                </c:pt>
                <c:pt idx="106">
                  <c:v>2.4759307543384956E-3</c:v>
                </c:pt>
                <c:pt idx="107">
                  <c:v>3.3715284980853077E-3</c:v>
                </c:pt>
                <c:pt idx="108">
                  <c:v>4.4059116068341231E-3</c:v>
                </c:pt>
                <c:pt idx="109">
                  <c:v>5.5795131686232624E-3</c:v>
                </c:pt>
                <c:pt idx="110">
                  <c:v>6.8928267463563841E-3</c:v>
                </c:pt>
                <c:pt idx="111">
                  <c:v>8.3464074299486324E-3</c:v>
                </c:pt>
                <c:pt idx="112">
                  <c:v>9.9408730294472392E-3</c:v>
                </c:pt>
                <c:pt idx="113">
                  <c:v>1.1676905415210936E-2</c:v>
                </c:pt>
                <c:pt idx="114">
                  <c:v>1.3555252012069752E-2</c:v>
                </c:pt>
                <c:pt idx="115">
                  <c:v>1.5576727455285266E-2</c:v>
                </c:pt>
                <c:pt idx="116">
                  <c:v>1.7742215417115181E-2</c:v>
                </c:pt>
                <c:pt idx="117">
                  <c:v>2.0052670613841195E-2</c:v>
                </c:pt>
                <c:pt idx="118">
                  <c:v>2.2509121004287924E-2</c:v>
                </c:pt>
                <c:pt idx="119">
                  <c:v>2.5112670192133701E-2</c:v>
                </c:pt>
                <c:pt idx="120">
                  <c:v>2.7864500045713725E-2</c:v>
                </c:pt>
                <c:pt idx="121">
                  <c:v>3.0765873550572032E-2</c:v>
                </c:pt>
                <c:pt idx="122">
                  <c:v>3.3818137911729385E-2</c:v>
                </c:pt>
                <c:pt idx="123">
                  <c:v>3.7022727924543863E-2</c:v>
                </c:pt>
                <c:pt idx="124">
                  <c:v>4.0381169635165359E-2</c:v>
                </c:pt>
                <c:pt idx="125">
                  <c:v>4.3895084313956723E-2</c:v>
                </c:pt>
                <c:pt idx="126">
                  <c:v>4.7566192767909077E-2</c:v>
                </c:pt>
                <c:pt idx="127">
                  <c:v>5.1396320021067865E-2</c:v>
                </c:pt>
                <c:pt idx="128">
                  <c:v>5.538740039533363E-2</c:v>
                </c:pt>
                <c:pt idx="129">
                  <c:v>5.9541483027796716E-2</c:v>
                </c:pt>
                <c:pt idx="130">
                  <c:v>6.3860737865042205E-2</c:v>
                </c:pt>
                <c:pt idx="131">
                  <c:v>6.8347462179720542E-2</c:v>
                </c:pt>
                <c:pt idx="132">
                  <c:v>7.3004087660194728E-2</c:v>
                </c:pt>
                <c:pt idx="133">
                  <c:v>7.7833188130365549E-2</c:v>
                </c:pt>
                <c:pt idx="134">
                  <c:v>8.28374879639594E-2</c:v>
                </c:pt>
                <c:pt idx="135">
                  <c:v>8.8019871265787031E-2</c:v>
                </c:pt>
                <c:pt idx="136">
                  <c:v>9.3383391901935231E-2</c:v>
                </c:pt>
                <c:pt idx="137">
                  <c:v>9.8931284471730718E-2</c:v>
                </c:pt>
                <c:pt idx="138">
                  <c:v>0.1046669763268826</c:v>
                </c:pt>
                <c:pt idx="139">
                  <c:v>0.11059410075776654</c:v>
                </c:pt>
                <c:pt idx="140">
                  <c:v>0.11671651148372442</c:v>
                </c:pt>
                <c:pt idx="141">
                  <c:v>0.12303829860396187</c:v>
                </c:pt>
                <c:pt idx="142">
                  <c:v>0.1295638061886768</c:v>
                </c:pt>
                <c:pt idx="143">
                  <c:v>0.13629765171709207</c:v>
                </c:pt>
                <c:pt idx="144">
                  <c:v>0.14324474760090744</c:v>
                </c:pt>
                <c:pt idx="145">
                  <c:v>0.15041032506932339</c:v>
                </c:pt>
                <c:pt idx="146">
                  <c:v>0.15779996073643565</c:v>
                </c:pt>
                <c:pt idx="147">
                  <c:v>0.16541960622499452</c:v>
                </c:pt>
                <c:pt idx="148">
                  <c:v>0.17327562128415885</c:v>
                </c:pt>
                <c:pt idx="149">
                  <c:v>0.18137481091533669</c:v>
                </c:pt>
                <c:pt idx="150">
                  <c:v>0.1897244671125351</c:v>
                </c:pt>
                <c:pt idx="151">
                  <c:v>0.19833241593564099</c:v>
                </c:pt>
                <c:pt idx="152">
                  <c:v>0.20720707077165224</c:v>
                </c:pt>
                <c:pt idx="153">
                  <c:v>0.2163574928063825</c:v>
                </c:pt>
                <c:pt idx="154">
                  <c:v>0.22579345993572852</c:v>
                </c:pt>
                <c:pt idx="155">
                  <c:v>0.23552554560192207</c:v>
                </c:pt>
                <c:pt idx="156">
                  <c:v>0.24556520936031567</c:v>
                </c:pt>
                <c:pt idx="157">
                  <c:v>0.25592490138480883</c:v>
                </c:pt>
                <c:pt idx="158">
                  <c:v>0.2666181836299556</c:v>
                </c:pt>
                <c:pt idx="159">
                  <c:v>0.27765987101878298</c:v>
                </c:pt>
                <c:pt idx="160">
                  <c:v>0.289066196863355</c:v>
                </c:pt>
                <c:pt idx="161">
                  <c:v>0.30085500781352681</c:v>
                </c:pt>
                <c:pt idx="162">
                  <c:v>0.31304599505653219</c:v>
                </c:pt>
                <c:pt idx="163">
                  <c:v>0.3256609703808675</c:v>
                </c:pt>
                <c:pt idx="164">
                  <c:v>0.33872419825096178</c:v>
                </c:pt>
                <c:pt idx="165">
                  <c:v>0.35226279847352415</c:v>
                </c:pt>
                <c:pt idx="166">
                  <c:v>0.36630723875428062</c:v>
                </c:pt>
                <c:pt idx="167">
                  <c:v>0.38089194301765461</c:v>
                </c:pt>
                <c:pt idx="168">
                  <c:v>0.3960560506660884</c:v>
                </c:pt>
                <c:pt idx="169">
                  <c:v>0.41184437535207841</c:v>
                </c:pt>
                <c:pt idx="170">
                  <c:v>0.42830863149397813</c:v>
                </c:pt>
                <c:pt idx="171">
                  <c:v>0.44550902622770661</c:v>
                </c:pt>
                <c:pt idx="172">
                  <c:v>0.46351635969308336</c:v>
                </c:pt>
                <c:pt idx="173">
                  <c:v>0.4824148477879866</c:v>
                </c:pt>
                <c:pt idx="174">
                  <c:v>0.50230599720806191</c:v>
                </c:pt>
                <c:pt idx="175">
                  <c:v>0.52331405706571643</c:v>
                </c:pt>
                <c:pt idx="176">
                  <c:v>0.54559391166205806</c:v>
                </c:pt>
                <c:pt idx="177">
                  <c:v>0.56934290299893031</c:v>
                </c:pt>
                <c:pt idx="178">
                  <c:v>0.59481928176732701</c:v>
                </c:pt>
                <c:pt idx="179">
                  <c:v>0.62237249728196742</c:v>
                </c:pt>
                <c:pt idx="180">
                  <c:v>0.65249620960063259</c:v>
                </c:pt>
                <c:pt idx="181">
                  <c:v>0.68592918787930302</c:v>
                </c:pt>
                <c:pt idx="182">
                  <c:v>0.72387085836200193</c:v>
                </c:pt>
                <c:pt idx="183">
                  <c:v>0.7685278248931896</c:v>
                </c:pt>
                <c:pt idx="184">
                  <c:v>0.8249666603558764</c:v>
                </c:pt>
                <c:pt idx="185">
                  <c:v>0.91386516804086115</c:v>
                </c:pt>
                <c:pt idx="186">
                  <c:v>1</c:v>
                </c:pt>
                <c:pt idx="187">
                  <c:v>1</c:v>
                </c:pt>
                <c:pt idx="188">
                  <c:v>1</c:v>
                </c:pt>
                <c:pt idx="189">
                  <c:v>1</c:v>
                </c:pt>
                <c:pt idx="190">
                  <c:v>1</c:v>
                </c:pt>
                <c:pt idx="191">
                  <c:v>1</c:v>
                </c:pt>
                <c:pt idx="192">
                  <c:v>1</c:v>
                </c:pt>
                <c:pt idx="193">
                  <c:v>1</c:v>
                </c:pt>
                <c:pt idx="194">
                  <c:v>1</c:v>
                </c:pt>
                <c:pt idx="195">
                  <c:v>1</c:v>
                </c:pt>
                <c:pt idx="196">
                  <c:v>1</c:v>
                </c:pt>
                <c:pt idx="197">
                  <c:v>1</c:v>
                </c:pt>
                <c:pt idx="198">
                  <c:v>1</c:v>
                </c:pt>
                <c:pt idx="199">
                  <c:v>1</c:v>
                </c:pt>
                <c:pt idx="200">
                  <c:v>1</c:v>
                </c:pt>
              </c:numCache>
            </c:numRef>
          </c:val>
          <c:extLst>
            <c:ext xmlns:c16="http://schemas.microsoft.com/office/drawing/2014/chart" uri="{C3380CC4-5D6E-409C-BE32-E72D297353CC}">
              <c16:uniqueId val="{00000001-3048-834D-B67D-4F846CEC1E6B}"/>
            </c:ext>
          </c:extLst>
        </c:ser>
        <c:ser>
          <c:idx val="3"/>
          <c:order val="2"/>
          <c:tx>
            <c:strRef>
              <c:f>Illumination!$J$8</c:f>
              <c:strCache>
                <c:ptCount val="1"/>
                <c:pt idx="0">
                  <c:v>black top</c:v>
                </c:pt>
              </c:strCache>
            </c:strRef>
          </c:tx>
          <c:spPr>
            <a:solidFill>
              <a:schemeClr val="tx1"/>
            </a:solidFill>
            <a:ln w="9525">
              <a:noFill/>
            </a:ln>
            <a:effectLst/>
          </c:spPr>
          <c:val>
            <c:numRef>
              <c:f>Illumination!$J$9:$J$209</c:f>
              <c:numCache>
                <c:formatCode>0.00</c:formatCode>
                <c:ptCount val="201"/>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1.9998626138569402</c:v>
                </c:pt>
                <c:pt idx="102">
                  <c:v>1.9994503987873404</c:v>
                </c:pt>
                <c:pt idx="103">
                  <c:v>1.9987631847531171</c:v>
                </c:pt>
                <c:pt idx="104">
                  <c:v>1.9978006879675008</c:v>
                </c:pt>
                <c:pt idx="105">
                  <c:v>1.996562510308115</c:v>
                </c:pt>
                <c:pt idx="106">
                  <c:v>1.995048138491323</c:v>
                </c:pt>
                <c:pt idx="107">
                  <c:v>1.9932569430038294</c:v>
                </c:pt>
                <c:pt idx="108">
                  <c:v>1.9911881767863318</c:v>
                </c:pt>
                <c:pt idx="109">
                  <c:v>1.9888409736627535</c:v>
                </c:pt>
                <c:pt idx="110">
                  <c:v>1.9862143465072872</c:v>
                </c:pt>
                <c:pt idx="111">
                  <c:v>1.9833071851401027</c:v>
                </c:pt>
                <c:pt idx="112">
                  <c:v>1.9801182539411055</c:v>
                </c:pt>
                <c:pt idx="113">
                  <c:v>1.9766461891695781</c:v>
                </c:pt>
                <c:pt idx="114">
                  <c:v>1.9728894959758605</c:v>
                </c:pt>
                <c:pt idx="115">
                  <c:v>1.9688465450894295</c:v>
                </c:pt>
                <c:pt idx="116">
                  <c:v>1.9645155691657696</c:v>
                </c:pt>
                <c:pt idx="117">
                  <c:v>1.9598946587723176</c:v>
                </c:pt>
                <c:pt idx="118">
                  <c:v>1.9549817579914242</c:v>
                </c:pt>
                <c:pt idx="119">
                  <c:v>1.9497746596157326</c:v>
                </c:pt>
                <c:pt idx="120">
                  <c:v>1.9442709999085726</c:v>
                </c:pt>
                <c:pt idx="121">
                  <c:v>1.9384682528988559</c:v>
                </c:pt>
                <c:pt idx="122">
                  <c:v>1.9323637241765412</c:v>
                </c:pt>
                <c:pt idx="123">
                  <c:v>1.9259545441509123</c:v>
                </c:pt>
                <c:pt idx="124">
                  <c:v>1.9192376607296693</c:v>
                </c:pt>
                <c:pt idx="125">
                  <c:v>1.9122098313720866</c:v>
                </c:pt>
                <c:pt idx="126">
                  <c:v>1.9048676144641818</c:v>
                </c:pt>
                <c:pt idx="127">
                  <c:v>1.8972073599578643</c:v>
                </c:pt>
                <c:pt idx="128">
                  <c:v>1.8892251992093327</c:v>
                </c:pt>
                <c:pt idx="129">
                  <c:v>1.8809170339444066</c:v>
                </c:pt>
                <c:pt idx="130">
                  <c:v>1.8722785242699156</c:v>
                </c:pt>
                <c:pt idx="131">
                  <c:v>1.8633050756405589</c:v>
                </c:pt>
                <c:pt idx="132">
                  <c:v>1.8539918246796105</c:v>
                </c:pt>
                <c:pt idx="133">
                  <c:v>1.8443336237392689</c:v>
                </c:pt>
                <c:pt idx="134">
                  <c:v>1.8343250240720812</c:v>
                </c:pt>
                <c:pt idx="135">
                  <c:v>1.8239602574684259</c:v>
                </c:pt>
                <c:pt idx="136">
                  <c:v>1.8132332161961295</c:v>
                </c:pt>
                <c:pt idx="137">
                  <c:v>1.8021374310565386</c:v>
                </c:pt>
                <c:pt idx="138">
                  <c:v>1.7906660473462348</c:v>
                </c:pt>
                <c:pt idx="139">
                  <c:v>1.7788117984844669</c:v>
                </c:pt>
                <c:pt idx="140">
                  <c:v>1.7665669770325512</c:v>
                </c:pt>
                <c:pt idx="141">
                  <c:v>1.7539234027920763</c:v>
                </c:pt>
                <c:pt idx="142">
                  <c:v>1.7408723876226464</c:v>
                </c:pt>
                <c:pt idx="143">
                  <c:v>1.7274046965658159</c:v>
                </c:pt>
                <c:pt idx="144">
                  <c:v>1.7135105047981851</c:v>
                </c:pt>
                <c:pt idx="145">
                  <c:v>1.6991793498613532</c:v>
                </c:pt>
                <c:pt idx="146">
                  <c:v>1.6844000785271287</c:v>
                </c:pt>
                <c:pt idx="147">
                  <c:v>1.669160787550011</c:v>
                </c:pt>
                <c:pt idx="148">
                  <c:v>1.6534487574316823</c:v>
                </c:pt>
                <c:pt idx="149">
                  <c:v>1.6372503781693266</c:v>
                </c:pt>
                <c:pt idx="150">
                  <c:v>1.6205510657749298</c:v>
                </c:pt>
                <c:pt idx="151">
                  <c:v>1.603335168128718</c:v>
                </c:pt>
                <c:pt idx="152">
                  <c:v>1.5855858584566955</c:v>
                </c:pt>
                <c:pt idx="153">
                  <c:v>1.567285014387235</c:v>
                </c:pt>
                <c:pt idx="154">
                  <c:v>1.548413080128543</c:v>
                </c:pt>
                <c:pt idx="155">
                  <c:v>1.5289489087961559</c:v>
                </c:pt>
                <c:pt idx="156">
                  <c:v>1.5088695812793687</c:v>
                </c:pt>
                <c:pt idx="157">
                  <c:v>1.4881501972303823</c:v>
                </c:pt>
                <c:pt idx="158">
                  <c:v>1.4667636327400888</c:v>
                </c:pt>
                <c:pt idx="159">
                  <c:v>1.444680257962434</c:v>
                </c:pt>
                <c:pt idx="160">
                  <c:v>1.42186760627329</c:v>
                </c:pt>
                <c:pt idx="161">
                  <c:v>1.3982899843729464</c:v>
                </c:pt>
                <c:pt idx="162">
                  <c:v>1.3739080098869356</c:v>
                </c:pt>
                <c:pt idx="163">
                  <c:v>1.348678059238265</c:v>
                </c:pt>
                <c:pt idx="164">
                  <c:v>1.3225516034980764</c:v>
                </c:pt>
                <c:pt idx="165">
                  <c:v>1.2954744030529517</c:v>
                </c:pt>
                <c:pt idx="166">
                  <c:v>1.2673855224914388</c:v>
                </c:pt>
                <c:pt idx="167">
                  <c:v>1.2382161139646908</c:v>
                </c:pt>
                <c:pt idx="168">
                  <c:v>1.2078878986678232</c:v>
                </c:pt>
                <c:pt idx="169">
                  <c:v>1.1763112492958432</c:v>
                </c:pt>
                <c:pt idx="170">
                  <c:v>1.1433827370120437</c:v>
                </c:pt>
                <c:pt idx="171">
                  <c:v>1.1089819475445868</c:v>
                </c:pt>
                <c:pt idx="172">
                  <c:v>1.0729672806138333</c:v>
                </c:pt>
                <c:pt idx="173">
                  <c:v>1.0351703044240268</c:v>
                </c:pt>
                <c:pt idx="174">
                  <c:v>0.99538800558387619</c:v>
                </c:pt>
                <c:pt idx="175">
                  <c:v>0.95337188586856725</c:v>
                </c:pt>
                <c:pt idx="176">
                  <c:v>0.90881217667588399</c:v>
                </c:pt>
                <c:pt idx="177">
                  <c:v>0.86131419400213938</c:v>
                </c:pt>
                <c:pt idx="178">
                  <c:v>0.81036143646534609</c:v>
                </c:pt>
                <c:pt idx="179">
                  <c:v>0.75525500543606516</c:v>
                </c:pt>
                <c:pt idx="180">
                  <c:v>0.69500758079873493</c:v>
                </c:pt>
                <c:pt idx="181">
                  <c:v>0.62814162424139397</c:v>
                </c:pt>
                <c:pt idx="182">
                  <c:v>0.55225828327599624</c:v>
                </c:pt>
                <c:pt idx="183">
                  <c:v>0.46294435021362079</c:v>
                </c:pt>
                <c:pt idx="184">
                  <c:v>0.35006667928824714</c:v>
                </c:pt>
                <c:pt idx="185">
                  <c:v>0.17226966391827775</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numCache>
            </c:numRef>
          </c:val>
          <c:extLst>
            <c:ext xmlns:c16="http://schemas.microsoft.com/office/drawing/2014/chart" uri="{C3380CC4-5D6E-409C-BE32-E72D297353CC}">
              <c16:uniqueId val="{00000002-3048-834D-B67D-4F846CEC1E6B}"/>
            </c:ext>
          </c:extLst>
        </c:ser>
        <c:dLbls>
          <c:showLegendKey val="0"/>
          <c:showVal val="0"/>
          <c:showCatName val="0"/>
          <c:showSerName val="0"/>
          <c:showPercent val="0"/>
          <c:showBubbleSize val="0"/>
        </c:dLbls>
        <c:axId val="239354064"/>
        <c:axId val="239352496"/>
      </c:areaChart>
      <c:catAx>
        <c:axId val="239354064"/>
        <c:scaling>
          <c:orientation val="minMax"/>
        </c:scaling>
        <c:delete val="1"/>
        <c:axPos val="b"/>
        <c:majorTickMark val="none"/>
        <c:minorTickMark val="none"/>
        <c:tickLblPos val="nextTo"/>
        <c:crossAx val="239352496"/>
        <c:crosses val="autoZero"/>
        <c:auto val="1"/>
        <c:lblAlgn val="ctr"/>
        <c:lblOffset val="100"/>
        <c:noMultiLvlLbl val="0"/>
      </c:catAx>
      <c:valAx>
        <c:axId val="239352496"/>
        <c:scaling>
          <c:orientation val="minMax"/>
          <c:max val="2"/>
          <c:min val="0"/>
        </c:scaling>
        <c:delete val="1"/>
        <c:axPos val="l"/>
        <c:numFmt formatCode="0.00" sourceLinked="1"/>
        <c:majorTickMark val="out"/>
        <c:minorTickMark val="none"/>
        <c:tickLblPos val="nextTo"/>
        <c:crossAx val="239354064"/>
        <c:crosses val="autoZero"/>
        <c:crossBetween val="midCat"/>
      </c:valAx>
      <c:spPr>
        <a:blipFill>
          <a:blip xmlns:r="http://schemas.openxmlformats.org/officeDocument/2006/relationships" r:embed="rId3"/>
          <a:stretch>
            <a:fillRect/>
          </a:stretch>
        </a:blipFill>
        <a:ln>
          <a:noFill/>
        </a:ln>
        <a:effectLst/>
      </c:spPr>
    </c:plotArea>
    <c:plotVisOnly val="0"/>
    <c:dispBlanksAs val="gap"/>
    <c:showDLblsOverMax val="0"/>
  </c:chart>
  <c:spPr>
    <a:solidFill>
      <a:schemeClr val="tx1"/>
    </a:solidFill>
    <a:ln w="9525" cap="flat" cmpd="sng" algn="ctr">
      <a:noFill/>
      <a:round/>
    </a:ln>
    <a:effectLst/>
  </c:spPr>
  <c:txPr>
    <a:bodyPr/>
    <a:lstStyle/>
    <a:p>
      <a:pPr>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 Id="rId5" Type="http://schemas.openxmlformats.org/officeDocument/2006/relationships/image" Target="../media/image8.jpg"/><Relationship Id="rId4" Type="http://schemas.openxmlformats.org/officeDocument/2006/relationships/image" Target="../media/image7.jpeg"/></Relationships>
</file>

<file path=xl/drawings/_rels/drawing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8" Type="http://schemas.openxmlformats.org/officeDocument/2006/relationships/image" Target="../media/image17.jpeg"/><Relationship Id="rId3" Type="http://schemas.openxmlformats.org/officeDocument/2006/relationships/image" Target="../media/image12.jpeg"/><Relationship Id="rId7" Type="http://schemas.openxmlformats.org/officeDocument/2006/relationships/image" Target="../media/image16.jpeg"/><Relationship Id="rId12" Type="http://schemas.openxmlformats.org/officeDocument/2006/relationships/image" Target="../media/image21.jpeg"/><Relationship Id="rId2" Type="http://schemas.openxmlformats.org/officeDocument/2006/relationships/image" Target="../media/image11.jpeg"/><Relationship Id="rId1" Type="http://schemas.openxmlformats.org/officeDocument/2006/relationships/image" Target="../media/image10.jpeg"/><Relationship Id="rId6" Type="http://schemas.openxmlformats.org/officeDocument/2006/relationships/image" Target="../media/image15.jpeg"/><Relationship Id="rId11" Type="http://schemas.openxmlformats.org/officeDocument/2006/relationships/image" Target="../media/image20.jpeg"/><Relationship Id="rId5" Type="http://schemas.openxmlformats.org/officeDocument/2006/relationships/image" Target="../media/image14.jpeg"/><Relationship Id="rId10" Type="http://schemas.openxmlformats.org/officeDocument/2006/relationships/image" Target="../media/image19.jpeg"/><Relationship Id="rId4" Type="http://schemas.openxmlformats.org/officeDocument/2006/relationships/image" Target="../media/image13.jpeg"/><Relationship Id="rId9" Type="http://schemas.openxmlformats.org/officeDocument/2006/relationships/image" Target="../media/image18.png"/></Relationships>
</file>

<file path=xl/drawings/drawing1.xml><?xml version="1.0" encoding="utf-8"?>
<xdr:wsDr xmlns:xdr="http://schemas.openxmlformats.org/drawingml/2006/spreadsheetDrawing" xmlns:a="http://schemas.openxmlformats.org/drawingml/2006/main">
  <xdr:twoCellAnchor editAs="oneCell">
    <xdr:from>
      <xdr:col>2</xdr:col>
      <xdr:colOff>596900</xdr:colOff>
      <xdr:row>38</xdr:row>
      <xdr:rowOff>114300</xdr:rowOff>
    </xdr:from>
    <xdr:to>
      <xdr:col>9</xdr:col>
      <xdr:colOff>215900</xdr:colOff>
      <xdr:row>48</xdr:row>
      <xdr:rowOff>25400</xdr:rowOff>
    </xdr:to>
    <xdr:pic>
      <xdr:nvPicPr>
        <xdr:cNvPr id="3" name="Picture 2">
          <a:hlinkClick xmlns:r="http://schemas.openxmlformats.org/officeDocument/2006/relationships" r:id="rId1"/>
          <a:extLst>
            <a:ext uri="{FF2B5EF4-FFF2-40B4-BE49-F238E27FC236}">
              <a16:creationId xmlns:a16="http://schemas.microsoft.com/office/drawing/2014/main" id="{986149BC-8520-4C4B-E9DC-263481011423}"/>
            </a:ext>
          </a:extLst>
        </xdr:cNvPr>
        <xdr:cNvPicPr>
          <a:picLocks noChangeAspect="1"/>
        </xdr:cNvPicPr>
      </xdr:nvPicPr>
      <xdr:blipFill>
        <a:blip xmlns:r="http://schemas.openxmlformats.org/officeDocument/2006/relationships" r:embed="rId2"/>
        <a:stretch>
          <a:fillRect/>
        </a:stretch>
      </xdr:blipFill>
      <xdr:spPr>
        <a:xfrm>
          <a:off x="2247900" y="9969500"/>
          <a:ext cx="5397500" cy="1943100"/>
        </a:xfrm>
        <a:prstGeom prst="rect">
          <a:avLst/>
        </a:prstGeom>
      </xdr:spPr>
    </xdr:pic>
    <xdr:clientData/>
  </xdr:twoCellAnchor>
  <xdr:twoCellAnchor editAs="oneCell">
    <xdr:from>
      <xdr:col>2</xdr:col>
      <xdr:colOff>542630</xdr:colOff>
      <xdr:row>16</xdr:row>
      <xdr:rowOff>177801</xdr:rowOff>
    </xdr:from>
    <xdr:to>
      <xdr:col>9</xdr:col>
      <xdr:colOff>203199</xdr:colOff>
      <xdr:row>32</xdr:row>
      <xdr:rowOff>76201</xdr:rowOff>
    </xdr:to>
    <xdr:pic>
      <xdr:nvPicPr>
        <xdr:cNvPr id="2" name="Picture 1">
          <a:extLst>
            <a:ext uri="{FF2B5EF4-FFF2-40B4-BE49-F238E27FC236}">
              <a16:creationId xmlns:a16="http://schemas.microsoft.com/office/drawing/2014/main" id="{C69BB004-21F1-6943-B175-00A345615BFD}"/>
            </a:ext>
          </a:extLst>
        </xdr:cNvPr>
        <xdr:cNvPicPr>
          <a:picLocks noChangeAspect="1"/>
        </xdr:cNvPicPr>
      </xdr:nvPicPr>
      <xdr:blipFill>
        <a:blip xmlns:r="http://schemas.openxmlformats.org/officeDocument/2006/relationships" r:embed="rId3"/>
        <a:stretch>
          <a:fillRect/>
        </a:stretch>
      </xdr:blipFill>
      <xdr:spPr>
        <a:xfrm>
          <a:off x="2193630" y="3530601"/>
          <a:ext cx="5439069" cy="3149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36</xdr:row>
      <xdr:rowOff>12700</xdr:rowOff>
    </xdr:from>
    <xdr:to>
      <xdr:col>4</xdr:col>
      <xdr:colOff>0</xdr:colOff>
      <xdr:row>49</xdr:row>
      <xdr:rowOff>114300</xdr:rowOff>
    </xdr:to>
    <xdr:graphicFrame macro="">
      <xdr:nvGraphicFramePr>
        <xdr:cNvPr id="2" name="Chart 1">
          <a:extLst>
            <a:ext uri="{FF2B5EF4-FFF2-40B4-BE49-F238E27FC236}">
              <a16:creationId xmlns:a16="http://schemas.microsoft.com/office/drawing/2014/main" id="{68557A7E-FD4C-0441-AE4F-531B9A092A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8</xdr:row>
      <xdr:rowOff>101600</xdr:rowOff>
    </xdr:from>
    <xdr:to>
      <xdr:col>0</xdr:col>
      <xdr:colOff>635000</xdr:colOff>
      <xdr:row>10</xdr:row>
      <xdr:rowOff>184896</xdr:rowOff>
    </xdr:to>
    <xdr:pic>
      <xdr:nvPicPr>
        <xdr:cNvPr id="2" name="Picture 1" hidden="1">
          <a:extLst>
            <a:ext uri="{FF2B5EF4-FFF2-40B4-BE49-F238E27FC236}">
              <a16:creationId xmlns:a16="http://schemas.microsoft.com/office/drawing/2014/main" id="{91148529-0D78-514F-A780-144CAA8EBAB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12800" y="1524000"/>
          <a:ext cx="635000" cy="438896"/>
        </a:xfrm>
        <a:prstGeom prst="rect">
          <a:avLst/>
        </a:prstGeom>
        <a:noFill/>
      </xdr:spPr>
    </xdr:pic>
    <xdr:clientData/>
  </xdr:twoCellAnchor>
  <xdr:twoCellAnchor editAs="oneCell">
    <xdr:from>
      <xdr:col>0</xdr:col>
      <xdr:colOff>0</xdr:colOff>
      <xdr:row>6</xdr:row>
      <xdr:rowOff>38100</xdr:rowOff>
    </xdr:from>
    <xdr:to>
      <xdr:col>0</xdr:col>
      <xdr:colOff>622426</xdr:colOff>
      <xdr:row>9</xdr:row>
      <xdr:rowOff>69850</xdr:rowOff>
    </xdr:to>
    <xdr:pic>
      <xdr:nvPicPr>
        <xdr:cNvPr id="3" name="Picture 2" hidden="1">
          <a:extLst>
            <a:ext uri="{FF2B5EF4-FFF2-40B4-BE49-F238E27FC236}">
              <a16:creationId xmlns:a16="http://schemas.microsoft.com/office/drawing/2014/main" id="{2579995B-687F-7046-B21B-7A8EDBA0E09F}"/>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2800" y="1104900"/>
          <a:ext cx="622426" cy="565150"/>
        </a:xfrm>
        <a:prstGeom prst="rect">
          <a:avLst/>
        </a:prstGeom>
        <a:noFill/>
      </xdr:spPr>
    </xdr:pic>
    <xdr:clientData/>
  </xdr:twoCellAnchor>
  <xdr:twoCellAnchor editAs="oneCell">
    <xdr:from>
      <xdr:col>0</xdr:col>
      <xdr:colOff>0</xdr:colOff>
      <xdr:row>6</xdr:row>
      <xdr:rowOff>38100</xdr:rowOff>
    </xdr:from>
    <xdr:to>
      <xdr:col>0</xdr:col>
      <xdr:colOff>624417</xdr:colOff>
      <xdr:row>9</xdr:row>
      <xdr:rowOff>3175</xdr:rowOff>
    </xdr:to>
    <xdr:pic>
      <xdr:nvPicPr>
        <xdr:cNvPr id="4" name="Picture 3" hidden="1">
          <a:extLst>
            <a:ext uri="{FF2B5EF4-FFF2-40B4-BE49-F238E27FC236}">
              <a16:creationId xmlns:a16="http://schemas.microsoft.com/office/drawing/2014/main" id="{F6A7DDAC-3D0C-7E44-B5B1-FC1EA8F29829}"/>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812800" y="1104900"/>
          <a:ext cx="624417" cy="498475"/>
        </a:xfrm>
        <a:prstGeom prst="rect">
          <a:avLst/>
        </a:prstGeom>
        <a:noFill/>
      </xdr:spPr>
    </xdr:pic>
    <xdr:clientData/>
  </xdr:twoCellAnchor>
  <xdr:twoCellAnchor editAs="oneCell">
    <xdr:from>
      <xdr:col>0</xdr:col>
      <xdr:colOff>0</xdr:colOff>
      <xdr:row>5</xdr:row>
      <xdr:rowOff>0</xdr:rowOff>
    </xdr:from>
    <xdr:to>
      <xdr:col>1</xdr:col>
      <xdr:colOff>932329</xdr:colOff>
      <xdr:row>11</xdr:row>
      <xdr:rowOff>23906</xdr:rowOff>
    </xdr:to>
    <xdr:pic>
      <xdr:nvPicPr>
        <xdr:cNvPr id="5" name="Picture 4" hidden="1">
          <a:extLst>
            <a:ext uri="{FF2B5EF4-FFF2-40B4-BE49-F238E27FC236}">
              <a16:creationId xmlns:a16="http://schemas.microsoft.com/office/drawing/2014/main" id="{46545537-1840-E848-AB75-5784EDC265DE}"/>
            </a:ext>
          </a:extLst>
        </xdr:cNvPr>
        <xdr:cNvPicPr>
          <a:picLocks noChangeAspect="1"/>
        </xdr:cNvPicPr>
      </xdr:nvPicPr>
      <xdr:blipFill>
        <a:blip xmlns:r="http://schemas.openxmlformats.org/officeDocument/2006/relationships" r:embed="rId4" cstate="print"/>
        <a:stretch>
          <a:fillRect/>
        </a:stretch>
      </xdr:blipFill>
      <xdr:spPr>
        <a:xfrm>
          <a:off x="812800" y="889000"/>
          <a:ext cx="1757829" cy="1116106"/>
        </a:xfrm>
        <a:prstGeom prst="rect">
          <a:avLst/>
        </a:prstGeom>
      </xdr:spPr>
    </xdr:pic>
    <xdr:clientData/>
  </xdr:twoCellAnchor>
  <xdr:twoCellAnchor editAs="oneCell">
    <xdr:from>
      <xdr:col>1</xdr:col>
      <xdr:colOff>0</xdr:colOff>
      <xdr:row>9</xdr:row>
      <xdr:rowOff>50800</xdr:rowOff>
    </xdr:from>
    <xdr:to>
      <xdr:col>4</xdr:col>
      <xdr:colOff>317500</xdr:colOff>
      <xdr:row>17</xdr:row>
      <xdr:rowOff>8829</xdr:rowOff>
    </xdr:to>
    <xdr:pic>
      <xdr:nvPicPr>
        <xdr:cNvPr id="7" name="Picture 6">
          <a:extLst>
            <a:ext uri="{FF2B5EF4-FFF2-40B4-BE49-F238E27FC236}">
              <a16:creationId xmlns:a16="http://schemas.microsoft.com/office/drawing/2014/main" id="{91D82B11-6DA9-354E-B3E7-A2581D40E200}"/>
            </a:ext>
          </a:extLst>
        </xdr:cNvPr>
        <xdr:cNvPicPr>
          <a:picLocks noChangeAspect="1"/>
        </xdr:cNvPicPr>
      </xdr:nvPicPr>
      <xdr:blipFill>
        <a:blip xmlns:r="http://schemas.openxmlformats.org/officeDocument/2006/relationships" r:embed="rId5"/>
        <a:stretch>
          <a:fillRect/>
        </a:stretch>
      </xdr:blipFill>
      <xdr:spPr>
        <a:xfrm>
          <a:off x="6985000" y="1651000"/>
          <a:ext cx="3746500" cy="1558229"/>
        </a:xfrm>
        <a:prstGeom prst="rect">
          <a:avLst/>
        </a:prstGeom>
        <a:ln>
          <a:solidFill>
            <a:schemeClr val="tx1"/>
          </a:solid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12700</xdr:colOff>
      <xdr:row>3</xdr:row>
      <xdr:rowOff>0</xdr:rowOff>
    </xdr:from>
    <xdr:to>
      <xdr:col>29</xdr:col>
      <xdr:colOff>63500</xdr:colOff>
      <xdr:row>127</xdr:row>
      <xdr:rowOff>12700</xdr:rowOff>
    </xdr:to>
    <xdr:pic>
      <xdr:nvPicPr>
        <xdr:cNvPr id="2" name="Picture 1" descr="Complete Messier Catalog (2023 version) (Nick Large) - AstroBin">
          <a:extLst>
            <a:ext uri="{FF2B5EF4-FFF2-40B4-BE49-F238E27FC236}">
              <a16:creationId xmlns:a16="http://schemas.microsoft.com/office/drawing/2014/main" id="{BCA33A3E-67EE-0242-BCC1-7A1B762FF4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8200" y="647700"/>
          <a:ext cx="23164800" cy="2520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76200</xdr:colOff>
      <xdr:row>10</xdr:row>
      <xdr:rowOff>63500</xdr:rowOff>
    </xdr:from>
    <xdr:to>
      <xdr:col>5</xdr:col>
      <xdr:colOff>914400</xdr:colOff>
      <xdr:row>10</xdr:row>
      <xdr:rowOff>901700</xdr:rowOff>
    </xdr:to>
    <xdr:pic>
      <xdr:nvPicPr>
        <xdr:cNvPr id="2" name="Picture 1" descr="undefined">
          <a:extLst>
            <a:ext uri="{FF2B5EF4-FFF2-40B4-BE49-F238E27FC236}">
              <a16:creationId xmlns:a16="http://schemas.microsoft.com/office/drawing/2014/main" id="{81739603-C9A5-8041-A3CC-EF21EEB4BB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09700" y="7340600"/>
          <a:ext cx="8382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88900</xdr:colOff>
      <xdr:row>4</xdr:row>
      <xdr:rowOff>50800</xdr:rowOff>
    </xdr:from>
    <xdr:to>
      <xdr:col>5</xdr:col>
      <xdr:colOff>876300</xdr:colOff>
      <xdr:row>4</xdr:row>
      <xdr:rowOff>896257</xdr:rowOff>
    </xdr:to>
    <xdr:pic>
      <xdr:nvPicPr>
        <xdr:cNvPr id="3" name="Picture 2" descr="Messier 15 - NASA Science">
          <a:extLst>
            <a:ext uri="{FF2B5EF4-FFF2-40B4-BE49-F238E27FC236}">
              <a16:creationId xmlns:a16="http://schemas.microsoft.com/office/drawing/2014/main" id="{FEBE0913-DEDC-5D46-A627-7660CB1EF4E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122400" y="1612900"/>
          <a:ext cx="787400" cy="845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63500</xdr:colOff>
      <xdr:row>3</xdr:row>
      <xdr:rowOff>50800</xdr:rowOff>
    </xdr:from>
    <xdr:to>
      <xdr:col>5</xdr:col>
      <xdr:colOff>912272</xdr:colOff>
      <xdr:row>3</xdr:row>
      <xdr:rowOff>901699</xdr:rowOff>
    </xdr:to>
    <xdr:pic>
      <xdr:nvPicPr>
        <xdr:cNvPr id="4" name="Picture 3" descr="Messier 1 (M1) - The Crab Nebula - Universe Today">
          <a:extLst>
            <a:ext uri="{FF2B5EF4-FFF2-40B4-BE49-F238E27FC236}">
              <a16:creationId xmlns:a16="http://schemas.microsoft.com/office/drawing/2014/main" id="{8D867790-5F5C-1646-9578-889D4B92776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097000" y="660400"/>
          <a:ext cx="848772" cy="850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76200</xdr:colOff>
      <xdr:row>5</xdr:row>
      <xdr:rowOff>63500</xdr:rowOff>
    </xdr:from>
    <xdr:to>
      <xdr:col>5</xdr:col>
      <xdr:colOff>914400</xdr:colOff>
      <xdr:row>5</xdr:row>
      <xdr:rowOff>901700</xdr:rowOff>
    </xdr:to>
    <xdr:pic>
      <xdr:nvPicPr>
        <xdr:cNvPr id="5" name="Picture 4" descr="Messier 41 - the NGC 2287 Open Star Cluster - Universe Today">
          <a:extLst>
            <a:ext uri="{FF2B5EF4-FFF2-40B4-BE49-F238E27FC236}">
              <a16:creationId xmlns:a16="http://schemas.microsoft.com/office/drawing/2014/main" id="{B23361CF-A6C0-6C45-9168-386380C20FC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109700" y="2578100"/>
          <a:ext cx="8382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76200</xdr:colOff>
      <xdr:row>6</xdr:row>
      <xdr:rowOff>76200</xdr:rowOff>
    </xdr:from>
    <xdr:to>
      <xdr:col>5</xdr:col>
      <xdr:colOff>901700</xdr:colOff>
      <xdr:row>6</xdr:row>
      <xdr:rowOff>901700</xdr:rowOff>
    </xdr:to>
    <xdr:pic>
      <xdr:nvPicPr>
        <xdr:cNvPr id="6" name="Picture 5" descr="Messier 42 (The Orion Nebula) - NASA Science">
          <a:extLst>
            <a:ext uri="{FF2B5EF4-FFF2-40B4-BE49-F238E27FC236}">
              <a16:creationId xmlns:a16="http://schemas.microsoft.com/office/drawing/2014/main" id="{D3CBD293-CBE4-7040-A8FC-B3FCFDAE55C7}"/>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4109700" y="3543300"/>
          <a:ext cx="825500" cy="82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32210</xdr:colOff>
      <xdr:row>7</xdr:row>
      <xdr:rowOff>139700</xdr:rowOff>
    </xdr:from>
    <xdr:to>
      <xdr:col>5</xdr:col>
      <xdr:colOff>952499</xdr:colOff>
      <xdr:row>7</xdr:row>
      <xdr:rowOff>838199</xdr:rowOff>
    </xdr:to>
    <xdr:pic>
      <xdr:nvPicPr>
        <xdr:cNvPr id="7" name="Picture 6" descr="Messier 24, the Sagittarius Star Cloud - Sky &amp; Telescope - Sky &amp; Telescope">
          <a:extLst>
            <a:ext uri="{FF2B5EF4-FFF2-40B4-BE49-F238E27FC236}">
              <a16:creationId xmlns:a16="http://schemas.microsoft.com/office/drawing/2014/main" id="{45E62BAD-FB55-634D-87C9-306924AE67C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4065710" y="4559300"/>
          <a:ext cx="920289" cy="6984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60363</xdr:colOff>
      <xdr:row>8</xdr:row>
      <xdr:rowOff>63500</xdr:rowOff>
    </xdr:from>
    <xdr:to>
      <xdr:col>5</xdr:col>
      <xdr:colOff>901700</xdr:colOff>
      <xdr:row>8</xdr:row>
      <xdr:rowOff>889000</xdr:rowOff>
    </xdr:to>
    <xdr:pic>
      <xdr:nvPicPr>
        <xdr:cNvPr id="8" name="Picture 7" descr="Messier 76: Little Dumbbell Nebula | Messier Objects">
          <a:extLst>
            <a:ext uri="{FF2B5EF4-FFF2-40B4-BE49-F238E27FC236}">
              <a16:creationId xmlns:a16="http://schemas.microsoft.com/office/drawing/2014/main" id="{FA86B339-1AB2-F749-B44B-00461A4F55D3}"/>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14093863" y="5435600"/>
          <a:ext cx="841337" cy="82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80390</xdr:colOff>
      <xdr:row>9</xdr:row>
      <xdr:rowOff>63500</xdr:rowOff>
    </xdr:from>
    <xdr:to>
      <xdr:col>5</xdr:col>
      <xdr:colOff>901699</xdr:colOff>
      <xdr:row>9</xdr:row>
      <xdr:rowOff>889000</xdr:rowOff>
    </xdr:to>
    <xdr:pic>
      <xdr:nvPicPr>
        <xdr:cNvPr id="9" name="Picture 8" descr="Messier 74 - Wikipedia">
          <a:extLst>
            <a:ext uri="{FF2B5EF4-FFF2-40B4-BE49-F238E27FC236}">
              <a16:creationId xmlns:a16="http://schemas.microsoft.com/office/drawing/2014/main" id="{79290A22-5048-974C-9DCF-B1E02A1A998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4113890" y="6388100"/>
          <a:ext cx="821309" cy="82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38100</xdr:colOff>
      <xdr:row>14</xdr:row>
      <xdr:rowOff>35720</xdr:rowOff>
    </xdr:from>
    <xdr:to>
      <xdr:col>5</xdr:col>
      <xdr:colOff>939800</xdr:colOff>
      <xdr:row>14</xdr:row>
      <xdr:rowOff>939799</xdr:rowOff>
    </xdr:to>
    <xdr:pic>
      <xdr:nvPicPr>
        <xdr:cNvPr id="10" name="Picture 9" descr="Messier 102 - Universe Today">
          <a:extLst>
            <a:ext uri="{FF2B5EF4-FFF2-40B4-BE49-F238E27FC236}">
              <a16:creationId xmlns:a16="http://schemas.microsoft.com/office/drawing/2014/main" id="{32417DD5-C113-8840-B670-2D071A35336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4071600" y="11122820"/>
          <a:ext cx="901700" cy="9040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76200</xdr:colOff>
      <xdr:row>13</xdr:row>
      <xdr:rowOff>63500</xdr:rowOff>
    </xdr:from>
    <xdr:to>
      <xdr:col>5</xdr:col>
      <xdr:colOff>914400</xdr:colOff>
      <xdr:row>13</xdr:row>
      <xdr:rowOff>901700</xdr:rowOff>
    </xdr:to>
    <xdr:pic>
      <xdr:nvPicPr>
        <xdr:cNvPr id="11" name="Picture 10" descr="The Cigar Nebula - Messier 82 — AAPOD2.COM">
          <a:extLst>
            <a:ext uri="{FF2B5EF4-FFF2-40B4-BE49-F238E27FC236}">
              <a16:creationId xmlns:a16="http://schemas.microsoft.com/office/drawing/2014/main" id="{0AC5FABD-9E3C-9641-B443-EBE42C1C7FD4}"/>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14109700" y="10198100"/>
          <a:ext cx="8382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50800</xdr:colOff>
      <xdr:row>11</xdr:row>
      <xdr:rowOff>38100</xdr:rowOff>
    </xdr:from>
    <xdr:to>
      <xdr:col>5</xdr:col>
      <xdr:colOff>939800</xdr:colOff>
      <xdr:row>11</xdr:row>
      <xdr:rowOff>927100</xdr:rowOff>
    </xdr:to>
    <xdr:pic>
      <xdr:nvPicPr>
        <xdr:cNvPr id="12" name="Picture 11" descr="Messier 40 - M40 - Winnecke 4 (Double Star) | freestarcharts.com">
          <a:extLst>
            <a:ext uri="{FF2B5EF4-FFF2-40B4-BE49-F238E27FC236}">
              <a16:creationId xmlns:a16="http://schemas.microsoft.com/office/drawing/2014/main" id="{C7FE3832-951D-3C41-BB7E-17D50BE09714}"/>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14084300" y="8267700"/>
          <a:ext cx="889000" cy="889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76200</xdr:colOff>
      <xdr:row>12</xdr:row>
      <xdr:rowOff>63500</xdr:rowOff>
    </xdr:from>
    <xdr:to>
      <xdr:col>5</xdr:col>
      <xdr:colOff>914400</xdr:colOff>
      <xdr:row>12</xdr:row>
      <xdr:rowOff>901700</xdr:rowOff>
    </xdr:to>
    <xdr:pic>
      <xdr:nvPicPr>
        <xdr:cNvPr id="13" name="Picture 12" descr="Messier 73 - M73 - Asterism | freestarcharts.com">
          <a:extLst>
            <a:ext uri="{FF2B5EF4-FFF2-40B4-BE49-F238E27FC236}">
              <a16:creationId xmlns:a16="http://schemas.microsoft.com/office/drawing/2014/main" id="{D98C7F91-3125-8740-9E47-4E4DF705741E}"/>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14109700" y="9245600"/>
          <a:ext cx="8382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astrobin.com/u4tqjm/"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B940F-4CFD-5843-94DF-BBFEAA1B2116}">
  <sheetPr codeName="Sheet4"/>
  <dimension ref="A2:Q39"/>
  <sheetViews>
    <sheetView showGridLines="0" tabSelected="1" workbookViewId="0">
      <selection activeCell="I16" sqref="I16"/>
    </sheetView>
  </sheetViews>
  <sheetFormatPr baseColWidth="10" defaultRowHeight="16"/>
  <cols>
    <col min="1" max="16384" width="10.83203125" style="46"/>
  </cols>
  <sheetData>
    <row r="2" spans="2:11" ht="15" customHeight="1"/>
    <row r="3" spans="2:11" ht="16" customHeight="1">
      <c r="B3" s="159" t="s">
        <v>212</v>
      </c>
      <c r="C3" s="159"/>
      <c r="D3" s="159"/>
      <c r="E3" s="159"/>
      <c r="F3" s="159"/>
      <c r="G3" s="159"/>
      <c r="H3" s="159"/>
      <c r="I3" s="159"/>
      <c r="J3" s="159"/>
      <c r="K3" s="159"/>
    </row>
    <row r="4" spans="2:11" ht="16" customHeight="1">
      <c r="B4" s="159"/>
      <c r="C4" s="159"/>
      <c r="D4" s="159"/>
      <c r="E4" s="159"/>
      <c r="F4" s="159"/>
      <c r="G4" s="159"/>
      <c r="H4" s="159"/>
      <c r="I4" s="159"/>
      <c r="J4" s="159"/>
      <c r="K4" s="159"/>
    </row>
    <row r="5" spans="2:11" ht="16" customHeight="1">
      <c r="B5" s="159"/>
      <c r="C5" s="159"/>
      <c r="D5" s="159"/>
      <c r="E5" s="159"/>
      <c r="F5" s="159"/>
      <c r="G5" s="159"/>
      <c r="H5" s="159"/>
      <c r="I5" s="159"/>
      <c r="J5" s="159"/>
      <c r="K5" s="159"/>
    </row>
    <row r="6" spans="2:11" ht="16" customHeight="1">
      <c r="B6" s="159"/>
      <c r="C6" s="159"/>
      <c r="D6" s="159"/>
      <c r="E6" s="159"/>
      <c r="F6" s="159"/>
      <c r="G6" s="159"/>
      <c r="H6" s="159"/>
      <c r="I6" s="159"/>
      <c r="J6" s="159"/>
      <c r="K6" s="159"/>
    </row>
    <row r="7" spans="2:11" ht="16" customHeight="1">
      <c r="B7" s="159"/>
      <c r="C7" s="159"/>
      <c r="D7" s="159"/>
      <c r="E7" s="159"/>
      <c r="F7" s="159"/>
      <c r="G7" s="159"/>
      <c r="H7" s="159"/>
      <c r="I7" s="159"/>
      <c r="J7" s="159"/>
      <c r="K7" s="159"/>
    </row>
    <row r="8" spans="2:11" ht="16" customHeight="1">
      <c r="B8" s="159"/>
      <c r="C8" s="159"/>
      <c r="D8" s="159"/>
      <c r="E8" s="159"/>
      <c r="F8" s="159"/>
      <c r="G8" s="159"/>
      <c r="H8" s="159"/>
      <c r="I8" s="159"/>
      <c r="J8" s="159"/>
      <c r="K8" s="159"/>
    </row>
    <row r="9" spans="2:11" ht="16" customHeight="1">
      <c r="B9" s="159"/>
      <c r="C9" s="159"/>
      <c r="D9" s="159"/>
      <c r="E9" s="159"/>
      <c r="F9" s="159"/>
      <c r="G9" s="159"/>
      <c r="H9" s="159"/>
      <c r="I9" s="159"/>
      <c r="J9" s="159"/>
      <c r="K9" s="159"/>
    </row>
    <row r="13" spans="2:11" ht="19">
      <c r="D13" s="1" t="s">
        <v>4</v>
      </c>
      <c r="E13" s="2"/>
      <c r="F13" s="3"/>
      <c r="G13" s="3"/>
      <c r="H13" s="3"/>
      <c r="I13" s="4" t="s">
        <v>0</v>
      </c>
    </row>
    <row r="14" spans="2:11" ht="19">
      <c r="D14" s="5"/>
      <c r="E14" s="6"/>
      <c r="F14" s="7"/>
      <c r="G14" s="7"/>
      <c r="H14" s="7"/>
      <c r="I14" s="8"/>
    </row>
    <row r="15" spans="2:11" ht="19">
      <c r="D15" s="9" t="s">
        <v>5</v>
      </c>
      <c r="E15" s="10"/>
      <c r="F15" s="11"/>
      <c r="G15" s="11"/>
      <c r="H15" s="11"/>
      <c r="I15" s="12" t="s">
        <v>290</v>
      </c>
    </row>
    <row r="25" spans="3:4">
      <c r="C25" s="47"/>
    </row>
    <row r="28" spans="3:4">
      <c r="D28" s="47"/>
    </row>
    <row r="33" spans="1:17">
      <c r="Q33" s="47"/>
    </row>
    <row r="34" spans="1:17">
      <c r="A34" s="47"/>
    </row>
    <row r="35" spans="1:17">
      <c r="B35" s="160" t="s">
        <v>1</v>
      </c>
      <c r="C35" s="161"/>
      <c r="D35" s="161"/>
      <c r="E35" s="161"/>
      <c r="F35" s="161"/>
      <c r="G35" s="161"/>
      <c r="H35" s="161"/>
      <c r="I35" s="161"/>
      <c r="J35" s="161"/>
      <c r="K35" s="162"/>
    </row>
    <row r="36" spans="1:17">
      <c r="B36" s="163" t="s">
        <v>2</v>
      </c>
      <c r="C36" s="164"/>
      <c r="D36" s="164"/>
      <c r="E36" s="164"/>
      <c r="F36" s="164"/>
      <c r="G36" s="164"/>
      <c r="H36" s="164"/>
      <c r="I36" s="164"/>
      <c r="J36" s="164"/>
      <c r="K36" s="165"/>
    </row>
    <row r="37" spans="1:17">
      <c r="B37" s="166" t="s">
        <v>3</v>
      </c>
      <c r="C37" s="167"/>
      <c r="D37" s="167"/>
      <c r="E37" s="167"/>
      <c r="F37" s="167"/>
      <c r="G37" s="167"/>
      <c r="H37" s="167"/>
      <c r="I37" s="167"/>
      <c r="J37" s="167"/>
      <c r="K37" s="168"/>
    </row>
    <row r="39" spans="1:17">
      <c r="Q39" s="47"/>
    </row>
  </sheetData>
  <sheetProtection sheet="1" objects="1" scenarios="1"/>
  <mergeCells count="4">
    <mergeCell ref="B3:K9"/>
    <mergeCell ref="B35:K35"/>
    <mergeCell ref="B36:K36"/>
    <mergeCell ref="B37:K37"/>
  </mergeCells>
  <hyperlinks>
    <hyperlink ref="I13" r:id="rId1" xr:uid="{60E68FAD-CE54-204D-BE8F-AA8992F34899}"/>
    <hyperlink ref="B35" r:id="rId2" display="http://www.astronomy-morsels.ch/" xr:uid="{658673F1-EC19-9849-A093-CD89D563BEA6}"/>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65CC5-610B-8844-8C0F-9B63B3EF5C5D}">
  <sheetPr codeName="Sheet1"/>
  <dimension ref="B2:Y120"/>
  <sheetViews>
    <sheetView showGridLines="0" workbookViewId="0">
      <selection activeCell="C5" sqref="C5"/>
    </sheetView>
  </sheetViews>
  <sheetFormatPr baseColWidth="10" defaultRowHeight="16"/>
  <cols>
    <col min="1" max="1" width="10.83203125" style="13"/>
    <col min="2" max="2" width="13.33203125" style="13" customWidth="1"/>
    <col min="3" max="4" width="11.33203125" style="13" customWidth="1"/>
    <col min="5" max="5" width="5.83203125" style="13" customWidth="1"/>
    <col min="6" max="6" width="8.33203125" style="13" customWidth="1"/>
    <col min="7" max="7" width="10.83203125" style="13" customWidth="1"/>
    <col min="8" max="8" width="10.83203125" style="14" customWidth="1"/>
    <col min="9" max="9" width="10.83203125" style="13"/>
    <col min="10" max="10" width="40.83203125" style="14" customWidth="1"/>
    <col min="11" max="12" width="10.83203125" style="14" customWidth="1"/>
    <col min="13" max="14" width="10.83203125" style="13"/>
    <col min="15" max="15" width="5.83203125" style="13" customWidth="1"/>
    <col min="16" max="16" width="10.83203125" style="13" hidden="1" customWidth="1"/>
    <col min="17" max="18" width="10.83203125" style="14" customWidth="1"/>
    <col min="19" max="20" width="13.33203125" style="13" customWidth="1"/>
    <col min="21" max="21" width="10.83203125" style="13" hidden="1" customWidth="1"/>
    <col min="22" max="22" width="15.83203125" style="14" customWidth="1"/>
    <col min="23" max="24" width="0.1640625" style="13" hidden="1" customWidth="1"/>
    <col min="25" max="25" width="10.83203125" style="13" hidden="1" customWidth="1"/>
    <col min="26" max="16384" width="10.83203125" style="13"/>
  </cols>
  <sheetData>
    <row r="2" spans="2:25" ht="19">
      <c r="B2" s="169" t="s">
        <v>243</v>
      </c>
      <c r="C2" s="171"/>
      <c r="D2" s="90"/>
      <c r="F2" s="169" t="s">
        <v>244</v>
      </c>
      <c r="G2" s="170"/>
      <c r="H2" s="170"/>
      <c r="I2" s="170"/>
      <c r="J2" s="170"/>
      <c r="K2" s="170"/>
      <c r="L2" s="170"/>
      <c r="M2" s="170"/>
      <c r="N2" s="171"/>
      <c r="Q2" s="169" t="s">
        <v>245</v>
      </c>
      <c r="R2" s="170"/>
      <c r="S2" s="170"/>
      <c r="T2" s="170"/>
      <c r="U2" s="170"/>
      <c r="V2" s="171"/>
    </row>
    <row r="3" spans="2:25">
      <c r="B3" s="153"/>
      <c r="C3" s="60" t="s">
        <v>8</v>
      </c>
      <c r="D3" s="91"/>
      <c r="E3" s="15"/>
      <c r="F3" s="83"/>
      <c r="G3" s="84"/>
      <c r="H3" s="16" t="s">
        <v>6</v>
      </c>
      <c r="I3" s="16" t="s">
        <v>6</v>
      </c>
      <c r="J3" s="76"/>
      <c r="K3" s="76"/>
      <c r="L3" s="76"/>
      <c r="M3" s="76"/>
      <c r="N3" s="86"/>
      <c r="Q3" s="152" t="str">
        <f>CONCATENATE("Date: ",TEXT(C4,"DD.MM.YYYY"),",   Time: ",TEXT(C5,"HH:MM:SS"))</f>
        <v>Date: 08.08.2024,   Time: 22:00:00</v>
      </c>
      <c r="R3" s="74"/>
      <c r="S3" s="74"/>
      <c r="T3" s="75"/>
      <c r="U3" s="74"/>
      <c r="V3" s="150" t="str">
        <f>CONCATENATE("Moon: ",TEXT(Illumination!C8*100,"0.00"),"%")</f>
        <v>Moon: 17.47%</v>
      </c>
    </row>
    <row r="4" spans="2:25">
      <c r="B4" s="19" t="s">
        <v>16</v>
      </c>
      <c r="C4" s="28">
        <v>45512</v>
      </c>
      <c r="D4" s="92"/>
      <c r="E4" s="15"/>
      <c r="F4" s="85"/>
      <c r="G4" s="86"/>
      <c r="H4" s="17">
        <v>10</v>
      </c>
      <c r="I4" s="17">
        <v>25</v>
      </c>
      <c r="J4" s="76"/>
      <c r="K4" s="76"/>
      <c r="L4" s="76"/>
      <c r="M4" s="76"/>
      <c r="N4" s="86"/>
      <c r="Q4" s="152" t="str">
        <f>CONCATENATE("Latitude: ",TEXT(C13,"0.00"),",      Longitude: ",TEXT(C14,"0.00"),"   (",C12,")")</f>
        <v>Latitude: 46.45,      Longitude: 7.42   (Home)</v>
      </c>
      <c r="R4" s="74"/>
      <c r="S4" s="74"/>
      <c r="T4" s="77"/>
      <c r="U4" s="74"/>
      <c r="V4" s="151" t="str">
        <f>CONCATENATE("# total:       ",TEXT(110-COUNTBLANK(($E$8:$E$117)),"0"))</f>
        <v># total:       38</v>
      </c>
    </row>
    <row r="5" spans="2:25">
      <c r="B5" s="25" t="s">
        <v>20</v>
      </c>
      <c r="C5" s="29">
        <v>0.91666666666666663</v>
      </c>
      <c r="D5" s="93"/>
      <c r="E5" s="15"/>
      <c r="F5" s="85"/>
      <c r="G5" s="86"/>
      <c r="H5" s="16" t="s">
        <v>7</v>
      </c>
      <c r="I5" s="16" t="s">
        <v>7</v>
      </c>
      <c r="J5" s="76"/>
      <c r="K5" s="76"/>
      <c r="L5" s="76"/>
      <c r="M5" s="76"/>
      <c r="N5" s="86"/>
      <c r="Q5" s="85" t="str">
        <f>CONCATENATE("Limits: ",TEXT(H4,"0")," &lt;= azimuth &lt;= ",TEXT(H6,"0"),",   ",TEXT(I4,"0")," &lt;= altitude &lt;= ",TEXT(I6,"0"))</f>
        <v>Limits: 10 &lt;= azimuth &lt;= 350,   25 &lt;= altitude &lt;= 90</v>
      </c>
      <c r="R5" s="74"/>
      <c r="S5" s="74"/>
      <c r="T5" s="78"/>
      <c r="U5" s="74"/>
      <c r="V5" s="151" t="str">
        <f>CONCATENATE("# selected: ",TEXT(110-COUNTBLANK(($Q$8:$Q$117)),"0"))</f>
        <v># selected: 38</v>
      </c>
    </row>
    <row r="6" spans="2:25">
      <c r="B6" s="25" t="s">
        <v>24</v>
      </c>
      <c r="C6" s="30">
        <v>1</v>
      </c>
      <c r="D6" s="94"/>
      <c r="E6" s="15"/>
      <c r="F6" s="87"/>
      <c r="G6" s="88"/>
      <c r="H6" s="17">
        <v>350</v>
      </c>
      <c r="I6" s="17">
        <v>90</v>
      </c>
      <c r="J6" s="80"/>
      <c r="K6" s="80"/>
      <c r="L6" s="80"/>
      <c r="M6" s="80"/>
      <c r="N6" s="88"/>
      <c r="Q6" s="79"/>
      <c r="R6" s="80"/>
      <c r="S6" s="81"/>
      <c r="T6" s="81"/>
      <c r="U6" s="81"/>
      <c r="V6" s="82"/>
    </row>
    <row r="7" spans="2:25" ht="19">
      <c r="B7" s="19" t="s">
        <v>26</v>
      </c>
      <c r="C7" s="16" t="str">
        <f>IF(OR(MOD(YEAR(C4),400)=0,AND(MOD(YEAR(C4),4)=0,MOD(YEAR(C4),100)&lt;&gt;0)),"Y", "N")</f>
        <v>Y</v>
      </c>
      <c r="D7" s="20"/>
      <c r="E7" s="15"/>
      <c r="F7" s="34" t="s">
        <v>9</v>
      </c>
      <c r="G7" s="34" t="str">
        <f>C17</f>
        <v>Observed?</v>
      </c>
      <c r="H7" s="35" t="s">
        <v>10</v>
      </c>
      <c r="I7" s="35" t="s">
        <v>11</v>
      </c>
      <c r="J7" s="34" t="s">
        <v>214</v>
      </c>
      <c r="K7" s="34" t="s">
        <v>12</v>
      </c>
      <c r="L7" s="35" t="s">
        <v>13</v>
      </c>
      <c r="M7" s="35" t="s">
        <v>14</v>
      </c>
      <c r="N7" s="35" t="s">
        <v>15</v>
      </c>
      <c r="O7" s="36"/>
      <c r="P7" s="36"/>
      <c r="Q7" s="64" t="s">
        <v>9</v>
      </c>
      <c r="R7" s="64" t="str">
        <f>C17</f>
        <v>Observed?</v>
      </c>
      <c r="S7" s="65" t="s">
        <v>10</v>
      </c>
      <c r="T7" s="65" t="s">
        <v>11</v>
      </c>
      <c r="U7" s="64" t="s">
        <v>214</v>
      </c>
      <c r="V7" s="64" t="s">
        <v>12</v>
      </c>
      <c r="W7" s="18" t="s">
        <v>13</v>
      </c>
      <c r="X7" s="18" t="s">
        <v>14</v>
      </c>
      <c r="Y7" s="18" t="s">
        <v>15</v>
      </c>
    </row>
    <row r="8" spans="2:25">
      <c r="B8" s="19" t="s">
        <v>30</v>
      </c>
      <c r="C8" s="31">
        <f>INT(275*MONTH(C4)/9)-IF(C7="Y",1,2)*INT((MONTH(C4)+9)/12)+DAY(C4)-30</f>
        <v>221</v>
      </c>
      <c r="D8" s="95"/>
      <c r="E8" s="158" t="str">
        <f t="shared" ref="E8:E28" si="0">IF(AND(I8&gt;=$I$4,I8&lt;=$I$6,H8&gt;=$H$4,H8&lt;=$H$6),IF(VLOOKUP(G8,$C$19:$D$24,2,FALSE)="yes","*","-"),"")</f>
        <v/>
      </c>
      <c r="F8" s="21" t="s">
        <v>17</v>
      </c>
      <c r="G8" s="89" t="s">
        <v>253</v>
      </c>
      <c r="H8" s="22">
        <f t="shared" ref="H8:H39" si="1">IF(SIN($N$120*N8)&lt;0,ACOS((SIN($N$120*M8)-SIN($N$120*I8)*SIN($N$120*$C$13))/(COS($N$120*I8)*COS($N$120*$C$13)))/$N$120,360-ACOS((SIN($N$120*M8)-SIN($N$120*I8)*SIN($N$120*$C$13))/(COS($N$120*I8)*COS($N$120*$C$13)))/$N$120)</f>
        <v>16.41326117403521</v>
      </c>
      <c r="I8" s="22">
        <f t="shared" ref="I8:I39" si="2">ASIN(SIN($N$120*M8)*SIN($N$120*$C$13)+COS($N$120*M8)*COS($N$120*$C$13)*COS($N$120*N8))/$N$120</f>
        <v>-19.738460161895439</v>
      </c>
      <c r="J8" s="21" t="s">
        <v>18</v>
      </c>
      <c r="K8" s="23" t="s">
        <v>19</v>
      </c>
      <c r="L8" s="24">
        <v>5.5750000000000002</v>
      </c>
      <c r="M8" s="24">
        <v>22.166666666666668</v>
      </c>
      <c r="N8" s="22">
        <f t="shared" ref="N8:N39" si="3">$C$16-((L8/24)*360)</f>
        <v>196.68962824984737</v>
      </c>
      <c r="P8" s="13" t="str" cm="1">
        <f t="array" ref="P8:Y45">_xlfn._xlws.FILTER(E8:N117,E8:E117="*","")</f>
        <v>*</v>
      </c>
      <c r="Q8" s="52" t="str">
        <v>M2</v>
      </c>
      <c r="R8" s="68" t="str">
        <v>-</v>
      </c>
      <c r="S8" s="53">
        <v>127.27838864673639</v>
      </c>
      <c r="T8" s="53">
        <v>30.909072973372258</v>
      </c>
      <c r="U8" s="48" t="str">
        <v/>
      </c>
      <c r="V8" s="54" t="str">
        <v>Easy</v>
      </c>
      <c r="W8" s="13">
        <v>21.558333333333334</v>
      </c>
      <c r="X8" s="13">
        <v>0.81666666666666665</v>
      </c>
      <c r="Y8" s="13">
        <v>-43.060371750152626</v>
      </c>
    </row>
    <row r="9" spans="2:25">
      <c r="B9" s="19" t="s">
        <v>34</v>
      </c>
      <c r="C9" s="31" t="str">
        <f>IF(INT(MOD(C10+1.5,7))=1,"Monday",IF(INT(MOD(C10+1.5,7))=2,"Tuesday",IF(INT(MOD(C10+1.5,7))=3,"Wednesday",IF(INT(MOD(C10+1.5,7))=4,"Thursday",IF(INT(MOD(C10+1.5,7))=5,"Friday",IF(INT(MOD(C10+1.5,7))=6,"Saturday","Sunday"))))))</f>
        <v>Thursday</v>
      </c>
      <c r="D9" s="95"/>
      <c r="E9" s="158" t="str">
        <f t="shared" si="0"/>
        <v>*</v>
      </c>
      <c r="F9" s="21" t="s">
        <v>21</v>
      </c>
      <c r="G9" s="89" t="s">
        <v>253</v>
      </c>
      <c r="H9" s="22">
        <f t="shared" si="1"/>
        <v>127.27838864673639</v>
      </c>
      <c r="I9" s="22">
        <f t="shared" si="2"/>
        <v>30.909072973372258</v>
      </c>
      <c r="J9" s="21" t="s">
        <v>22</v>
      </c>
      <c r="K9" s="23" t="s">
        <v>23</v>
      </c>
      <c r="L9" s="24">
        <v>21.558333333333334</v>
      </c>
      <c r="M9" s="24">
        <v>0.81666666666666665</v>
      </c>
      <c r="N9" s="22">
        <f t="shared" si="3"/>
        <v>-43.060371750152626</v>
      </c>
      <c r="P9" s="13" t="str">
        <v>*</v>
      </c>
      <c r="Q9" s="49" t="str">
        <v>M3</v>
      </c>
      <c r="R9" s="14" t="str">
        <v>-</v>
      </c>
      <c r="S9" s="55">
        <v>280.67158469526544</v>
      </c>
      <c r="T9" s="55">
        <v>30.253352232488538</v>
      </c>
      <c r="U9" s="13" t="str">
        <v/>
      </c>
      <c r="V9" s="56" t="str">
        <v>Easy</v>
      </c>
      <c r="W9" s="13">
        <v>13.703333333333333</v>
      </c>
      <c r="X9" s="13">
        <v>28.383333333333333</v>
      </c>
      <c r="Y9" s="13">
        <v>74.764628249847362</v>
      </c>
    </row>
    <row r="10" spans="2:25">
      <c r="B10" s="19" t="s">
        <v>37</v>
      </c>
      <c r="C10" s="66">
        <f>367*YEAR(C4)-INT(7/4*YEAR(C4))-INT(3*(INT((YEAR(C4)-8/7)/100)+1)/4)+1721059.5-1+C8+(3600*HOUR(C5)+60*MINUTE(C5)+SECOND(C5))/(24*3600)</f>
        <v>2460531.4166666665</v>
      </c>
      <c r="D10" s="96"/>
      <c r="E10" s="158" t="str">
        <f t="shared" si="0"/>
        <v>*</v>
      </c>
      <c r="F10" s="21" t="s">
        <v>25</v>
      </c>
      <c r="G10" s="89" t="s">
        <v>253</v>
      </c>
      <c r="H10" s="22">
        <f t="shared" si="1"/>
        <v>280.67158469526544</v>
      </c>
      <c r="I10" s="22">
        <f t="shared" si="2"/>
        <v>30.253352232488538</v>
      </c>
      <c r="J10" s="21" t="s">
        <v>22</v>
      </c>
      <c r="K10" s="23" t="s">
        <v>23</v>
      </c>
      <c r="L10" s="24">
        <v>13.703333333333333</v>
      </c>
      <c r="M10" s="24">
        <v>28.383333333333333</v>
      </c>
      <c r="N10" s="22">
        <f t="shared" si="3"/>
        <v>74.764628249847362</v>
      </c>
      <c r="P10" s="13" t="str">
        <v>*</v>
      </c>
      <c r="Q10" s="49" t="str">
        <v>M5</v>
      </c>
      <c r="R10" s="14" t="str">
        <v>-</v>
      </c>
      <c r="S10" s="55">
        <v>240.68304136110498</v>
      </c>
      <c r="T10" s="55">
        <v>27.566608859158517</v>
      </c>
      <c r="U10" s="13" t="str">
        <v>Rose Cluster</v>
      </c>
      <c r="V10" s="56" t="str">
        <v>Very Easy</v>
      </c>
      <c r="W10" s="13">
        <v>15.31</v>
      </c>
      <c r="X10" s="13">
        <v>2.0833333333333335</v>
      </c>
      <c r="Y10" s="13">
        <v>50.664628249847368</v>
      </c>
    </row>
    <row r="11" spans="2:25">
      <c r="B11" s="19" t="s">
        <v>40</v>
      </c>
      <c r="C11" s="66">
        <f>C10-2451545</f>
        <v>8986.4166666665114</v>
      </c>
      <c r="D11" s="96"/>
      <c r="E11" s="158" t="str">
        <f t="shared" si="0"/>
        <v/>
      </c>
      <c r="F11" s="21" t="s">
        <v>27</v>
      </c>
      <c r="G11" s="89" t="s">
        <v>253</v>
      </c>
      <c r="H11" s="22">
        <f t="shared" si="1"/>
        <v>210.96456068725567</v>
      </c>
      <c r="I11" s="22">
        <f t="shared" si="2"/>
        <v>10.646994137975227</v>
      </c>
      <c r="J11" s="21" t="s">
        <v>28</v>
      </c>
      <c r="K11" s="23" t="s">
        <v>29</v>
      </c>
      <c r="L11" s="24">
        <v>16.393333333333334</v>
      </c>
      <c r="M11" s="24">
        <v>-26.533333333333335</v>
      </c>
      <c r="N11" s="22">
        <f t="shared" si="3"/>
        <v>34.41462824984734</v>
      </c>
      <c r="P11" s="13" t="str">
        <v>*</v>
      </c>
      <c r="Q11" s="49" t="str">
        <v>M10</v>
      </c>
      <c r="R11" s="14" t="str">
        <v>-</v>
      </c>
      <c r="S11" s="55">
        <v>212.07145853325474</v>
      </c>
      <c r="T11" s="55">
        <v>34.447088477567057</v>
      </c>
      <c r="U11" s="13" t="str">
        <v/>
      </c>
      <c r="V11" s="56" t="str">
        <v>Moderate</v>
      </c>
      <c r="W11" s="13">
        <v>16.951666666666668</v>
      </c>
      <c r="X11" s="13">
        <v>-4.0999999999999996</v>
      </c>
      <c r="Y11" s="13">
        <v>26.03962824984734</v>
      </c>
    </row>
    <row r="12" spans="2:25">
      <c r="B12" s="62" t="s">
        <v>246</v>
      </c>
      <c r="C12" s="63" t="s">
        <v>247</v>
      </c>
      <c r="D12" s="97"/>
      <c r="E12" s="158" t="str">
        <f t="shared" si="0"/>
        <v>*</v>
      </c>
      <c r="F12" s="21" t="s">
        <v>31</v>
      </c>
      <c r="G12" s="89" t="s">
        <v>253</v>
      </c>
      <c r="H12" s="22">
        <f t="shared" si="1"/>
        <v>240.68304136110498</v>
      </c>
      <c r="I12" s="22">
        <f t="shared" si="2"/>
        <v>27.566608859158517</v>
      </c>
      <c r="J12" s="21" t="s">
        <v>32</v>
      </c>
      <c r="K12" s="23" t="s">
        <v>33</v>
      </c>
      <c r="L12" s="24">
        <v>15.31</v>
      </c>
      <c r="M12" s="24">
        <v>2.0833333333333335</v>
      </c>
      <c r="N12" s="22">
        <f t="shared" si="3"/>
        <v>50.664628249847368</v>
      </c>
      <c r="P12" s="13" t="str">
        <v>*</v>
      </c>
      <c r="Q12" s="49" t="str">
        <v>M11</v>
      </c>
      <c r="R12" s="14" t="str">
        <v>-</v>
      </c>
      <c r="S12" s="55">
        <v>176.92752346328712</v>
      </c>
      <c r="T12" s="55">
        <v>37.237882957297138</v>
      </c>
      <c r="U12" s="13" t="str">
        <v>Wild Duck Cluster</v>
      </c>
      <c r="V12" s="56" t="str">
        <v>Very Easy</v>
      </c>
      <c r="W12" s="13">
        <v>18.851666666666667</v>
      </c>
      <c r="X12" s="13">
        <v>-6.2666666666666666</v>
      </c>
      <c r="Y12" s="13">
        <v>-2.4603717501526035</v>
      </c>
    </row>
    <row r="13" spans="2:25">
      <c r="B13" s="26" t="s">
        <v>43</v>
      </c>
      <c r="C13" s="155">
        <f>VLOOKUP(C12,$B$29:$D$33,2,FALSE)</f>
        <v>46.45</v>
      </c>
      <c r="D13" s="98"/>
      <c r="E13" s="158" t="str">
        <f t="shared" si="0"/>
        <v/>
      </c>
      <c r="F13" s="21" t="s">
        <v>35</v>
      </c>
      <c r="G13" s="89" t="s">
        <v>253</v>
      </c>
      <c r="H13" s="22">
        <f t="shared" si="1"/>
        <v>193.09886109341372</v>
      </c>
      <c r="I13" s="22">
        <f t="shared" si="2"/>
        <v>10.130141917769755</v>
      </c>
      <c r="J13" s="21" t="s">
        <v>36</v>
      </c>
      <c r="K13" s="23" t="s">
        <v>23</v>
      </c>
      <c r="L13" s="24">
        <v>17.668333333333333</v>
      </c>
      <c r="M13" s="24">
        <v>-32.216666666666669</v>
      </c>
      <c r="N13" s="22">
        <f t="shared" si="3"/>
        <v>15.289628249847397</v>
      </c>
      <c r="P13" s="13" t="str">
        <v>*</v>
      </c>
      <c r="Q13" s="49" t="str">
        <v>M12</v>
      </c>
      <c r="R13" s="14" t="str">
        <v>-</v>
      </c>
      <c r="S13" s="55">
        <v>215.86561058242356</v>
      </c>
      <c r="T13" s="55">
        <v>35.478483314164585</v>
      </c>
      <c r="U13" s="13" t="str">
        <v>Gumball Globular</v>
      </c>
      <c r="V13" s="56" t="str">
        <v>Moderate</v>
      </c>
      <c r="W13" s="13">
        <v>16.786666666666665</v>
      </c>
      <c r="X13" s="13">
        <v>-1.95</v>
      </c>
      <c r="Y13" s="13">
        <v>28.514628249847391</v>
      </c>
    </row>
    <row r="14" spans="2:25">
      <c r="B14" s="19" t="s">
        <v>45</v>
      </c>
      <c r="C14" s="155">
        <f>VLOOKUP(C12,$B$29:$D$33,3,FALSE)</f>
        <v>7.42</v>
      </c>
      <c r="D14" s="98"/>
      <c r="E14" s="158" t="str">
        <f t="shared" si="0"/>
        <v/>
      </c>
      <c r="F14" s="21" t="s">
        <v>38</v>
      </c>
      <c r="G14" s="89" t="s">
        <v>253</v>
      </c>
      <c r="H14" s="22">
        <f t="shared" si="1"/>
        <v>189.79445989993124</v>
      </c>
      <c r="I14" s="22">
        <f t="shared" si="2"/>
        <v>8.0363972534485271</v>
      </c>
      <c r="J14" s="21" t="s">
        <v>39</v>
      </c>
      <c r="K14" s="23" t="s">
        <v>23</v>
      </c>
      <c r="L14" s="24">
        <v>17.898333333333333</v>
      </c>
      <c r="M14" s="24">
        <v>-34.81666666666667</v>
      </c>
      <c r="N14" s="22">
        <f t="shared" si="3"/>
        <v>11.839628249847351</v>
      </c>
      <c r="P14" s="13" t="str">
        <v>*</v>
      </c>
      <c r="Q14" s="49" t="str">
        <v>M13</v>
      </c>
      <c r="R14" s="14" t="str">
        <v>-</v>
      </c>
      <c r="S14" s="55">
        <v>256.55146417051282</v>
      </c>
      <c r="T14" s="55">
        <v>65.665820914152604</v>
      </c>
      <c r="U14" s="13" t="str">
        <v>(Great) Hercules Globular Cluster</v>
      </c>
      <c r="V14" s="56" t="str">
        <v>Very Easy</v>
      </c>
      <c r="W14" s="13">
        <v>16.695</v>
      </c>
      <c r="X14" s="13">
        <v>36.466666666666669</v>
      </c>
      <c r="Y14" s="13">
        <v>29.889628249847362</v>
      </c>
    </row>
    <row r="15" spans="2:25">
      <c r="B15" s="19" t="s">
        <v>47</v>
      </c>
      <c r="C15" s="27">
        <f>MOD(HOUR(C5)+(MINUTE(C5)/60)+(SECOND(C5)/60)-C6,24)</f>
        <v>21</v>
      </c>
      <c r="D15" s="99"/>
      <c r="E15" s="158" t="str">
        <f t="shared" si="0"/>
        <v/>
      </c>
      <c r="F15" s="21" t="s">
        <v>41</v>
      </c>
      <c r="G15" s="89" t="s">
        <v>253</v>
      </c>
      <c r="H15" s="22">
        <f t="shared" si="1"/>
        <v>188.99950704432348</v>
      </c>
      <c r="I15" s="22">
        <f t="shared" si="2"/>
        <v>18.660138753640659</v>
      </c>
      <c r="J15" s="21" t="s">
        <v>42</v>
      </c>
      <c r="K15" s="23" t="s">
        <v>19</v>
      </c>
      <c r="L15" s="24">
        <v>18.063333333333333</v>
      </c>
      <c r="M15" s="24">
        <v>-24.383333333333333</v>
      </c>
      <c r="N15" s="22">
        <f t="shared" si="3"/>
        <v>9.3646282498473852</v>
      </c>
      <c r="P15" s="13" t="str">
        <v>*</v>
      </c>
      <c r="Q15" s="49" t="str">
        <v>M14</v>
      </c>
      <c r="R15" s="14" t="str">
        <v>-</v>
      </c>
      <c r="S15" s="55">
        <v>200.4304339360678</v>
      </c>
      <c r="T15" s="55">
        <v>38.347124769995183</v>
      </c>
      <c r="U15" s="13" t="str">
        <v/>
      </c>
      <c r="V15" s="56" t="str">
        <v>Moderate</v>
      </c>
      <c r="W15" s="13">
        <v>17.626666666666665</v>
      </c>
      <c r="X15" s="13">
        <v>-3.25</v>
      </c>
      <c r="Y15" s="13">
        <v>15.914628249847397</v>
      </c>
    </row>
    <row r="16" spans="2:25">
      <c r="B16" s="19" t="s">
        <v>50</v>
      </c>
      <c r="C16" s="27">
        <f>MOD(100.46+0.985647*C11+C14+15*C15, 360)</f>
        <v>280.31462824984737</v>
      </c>
      <c r="D16" s="99"/>
      <c r="E16" s="158" t="str">
        <f t="shared" si="0"/>
        <v/>
      </c>
      <c r="F16" s="21" t="s">
        <v>44</v>
      </c>
      <c r="G16" s="89" t="s">
        <v>253</v>
      </c>
      <c r="H16" s="22">
        <f t="shared" si="1"/>
        <v>201.071185367705</v>
      </c>
      <c r="I16" s="22">
        <f t="shared" si="2"/>
        <v>22.439876113586905</v>
      </c>
      <c r="J16" s="21" t="s">
        <v>22</v>
      </c>
      <c r="K16" s="23" t="s">
        <v>19</v>
      </c>
      <c r="L16" s="24">
        <v>17.32</v>
      </c>
      <c r="M16" s="24">
        <v>-18.516666666666666</v>
      </c>
      <c r="N16" s="22">
        <f t="shared" si="3"/>
        <v>20.514628249847362</v>
      </c>
      <c r="P16" s="13" t="str">
        <v>*</v>
      </c>
      <c r="Q16" s="49" t="str">
        <v>M15</v>
      </c>
      <c r="R16" s="14" t="str">
        <v>-</v>
      </c>
      <c r="S16" s="55">
        <v>120.05027615252615</v>
      </c>
      <c r="T16" s="55">
        <v>40.677944734464425</v>
      </c>
      <c r="U16" s="13" t="str">
        <v>Great Pegasus Cluster</v>
      </c>
      <c r="V16" s="56" t="str">
        <v>Easy</v>
      </c>
      <c r="W16" s="13">
        <v>21.5</v>
      </c>
      <c r="X16" s="13">
        <v>12.166666666666666</v>
      </c>
      <c r="Y16" s="13">
        <v>-42.185371750152626</v>
      </c>
    </row>
    <row r="17" spans="2:25">
      <c r="B17" s="69" t="s">
        <v>248</v>
      </c>
      <c r="C17" s="70" t="s">
        <v>249</v>
      </c>
      <c r="D17" s="100"/>
      <c r="E17" s="158" t="str">
        <f t="shared" si="0"/>
        <v>*</v>
      </c>
      <c r="F17" s="21" t="s">
        <v>46</v>
      </c>
      <c r="G17" s="89" t="s">
        <v>253</v>
      </c>
      <c r="H17" s="22">
        <f t="shared" si="1"/>
        <v>212.07145853325474</v>
      </c>
      <c r="I17" s="22">
        <f t="shared" si="2"/>
        <v>34.447088477567057</v>
      </c>
      <c r="J17" s="21" t="s">
        <v>22</v>
      </c>
      <c r="K17" s="23" t="s">
        <v>19</v>
      </c>
      <c r="L17" s="24">
        <v>16.951666666666668</v>
      </c>
      <c r="M17" s="24">
        <v>-4.0999999999999996</v>
      </c>
      <c r="N17" s="22">
        <f t="shared" si="3"/>
        <v>26.03962824984734</v>
      </c>
      <c r="P17" s="13" t="str">
        <v>*</v>
      </c>
      <c r="Q17" s="49" t="str">
        <v>M16</v>
      </c>
      <c r="R17" s="14" t="str">
        <v>-</v>
      </c>
      <c r="S17" s="55">
        <v>186.27108667520085</v>
      </c>
      <c r="T17" s="55">
        <v>29.554996913562192</v>
      </c>
      <c r="U17" s="13" t="str">
        <v>Eagle Nebula Cluster</v>
      </c>
      <c r="V17" s="56" t="str">
        <v>Easy</v>
      </c>
      <c r="W17" s="13">
        <v>18.313333333333333</v>
      </c>
      <c r="X17" s="13">
        <v>-13.783333333333333</v>
      </c>
      <c r="Y17" s="13">
        <v>5.6146282498473852</v>
      </c>
    </row>
    <row r="18" spans="2:25">
      <c r="B18" s="59"/>
      <c r="C18" s="69" t="s">
        <v>250</v>
      </c>
      <c r="D18" s="156" t="s">
        <v>287</v>
      </c>
      <c r="E18" s="158" t="str">
        <f t="shared" si="0"/>
        <v>*</v>
      </c>
      <c r="F18" s="21" t="s">
        <v>48</v>
      </c>
      <c r="G18" s="89" t="s">
        <v>253</v>
      </c>
      <c r="H18" s="22">
        <f t="shared" si="1"/>
        <v>176.92752346328712</v>
      </c>
      <c r="I18" s="22">
        <f t="shared" si="2"/>
        <v>37.237882957297138</v>
      </c>
      <c r="J18" s="21" t="s">
        <v>49</v>
      </c>
      <c r="K18" s="23" t="s">
        <v>33</v>
      </c>
      <c r="L18" s="24">
        <v>18.851666666666667</v>
      </c>
      <c r="M18" s="24">
        <v>-6.2666666666666666</v>
      </c>
      <c r="N18" s="22">
        <f t="shared" si="3"/>
        <v>-2.4603717501526035</v>
      </c>
      <c r="P18" s="13" t="str">
        <v>*</v>
      </c>
      <c r="Q18" s="49" t="str">
        <v>M17</v>
      </c>
      <c r="R18" s="14" t="str">
        <v>-</v>
      </c>
      <c r="S18" s="55">
        <v>185.52374150518042</v>
      </c>
      <c r="T18" s="55">
        <v>27.196821526218919</v>
      </c>
      <c r="U18" s="13" t="str">
        <v>Omega, Swan, Horseshoe, Lobster Nebula</v>
      </c>
      <c r="V18" s="56" t="str">
        <v>Easy</v>
      </c>
      <c r="W18" s="13">
        <v>18.346666666666668</v>
      </c>
      <c r="X18" s="13">
        <v>-16.183333333333334</v>
      </c>
      <c r="Y18" s="13">
        <v>5.1146282498473852</v>
      </c>
    </row>
    <row r="19" spans="2:25" ht="16" customHeight="1">
      <c r="B19" s="173" t="s">
        <v>252</v>
      </c>
      <c r="C19" s="71" t="s">
        <v>253</v>
      </c>
      <c r="D19" s="70" t="s">
        <v>288</v>
      </c>
      <c r="E19" s="158" t="str">
        <f t="shared" si="0"/>
        <v>*</v>
      </c>
      <c r="F19" s="21" t="s">
        <v>51</v>
      </c>
      <c r="G19" s="89" t="s">
        <v>253</v>
      </c>
      <c r="H19" s="22">
        <f t="shared" si="1"/>
        <v>215.86561058242356</v>
      </c>
      <c r="I19" s="22">
        <f t="shared" si="2"/>
        <v>35.478483314164585</v>
      </c>
      <c r="J19" s="21" t="s">
        <v>52</v>
      </c>
      <c r="K19" s="23" t="s">
        <v>19</v>
      </c>
      <c r="L19" s="24">
        <v>16.786666666666665</v>
      </c>
      <c r="M19" s="24">
        <v>-1.95</v>
      </c>
      <c r="N19" s="22">
        <f t="shared" si="3"/>
        <v>28.514628249847391</v>
      </c>
      <c r="P19" s="13" t="str">
        <v>*</v>
      </c>
      <c r="Q19" s="49" t="str">
        <v>M18</v>
      </c>
      <c r="R19" s="14" t="str">
        <v>-</v>
      </c>
      <c r="S19" s="55">
        <v>185.68973098730183</v>
      </c>
      <c r="T19" s="55">
        <v>26.234023341585004</v>
      </c>
      <c r="U19" s="13" t="str">
        <v>Black Swan Cluster</v>
      </c>
      <c r="V19" s="56" t="str">
        <v>Moderate</v>
      </c>
      <c r="W19" s="13">
        <v>18.331666666666667</v>
      </c>
      <c r="X19" s="13">
        <v>-17.133333333333333</v>
      </c>
      <c r="Y19" s="13">
        <v>5.3396282498473511</v>
      </c>
    </row>
    <row r="20" spans="2:25">
      <c r="B20" s="173"/>
      <c r="C20" s="72" t="s">
        <v>251</v>
      </c>
      <c r="D20" s="70" t="s">
        <v>288</v>
      </c>
      <c r="E20" s="158" t="str">
        <f t="shared" si="0"/>
        <v>*</v>
      </c>
      <c r="F20" s="21" t="s">
        <v>53</v>
      </c>
      <c r="G20" s="89" t="s">
        <v>253</v>
      </c>
      <c r="H20" s="22">
        <f t="shared" si="1"/>
        <v>256.55146417051282</v>
      </c>
      <c r="I20" s="22">
        <f t="shared" si="2"/>
        <v>65.665820914152604</v>
      </c>
      <c r="J20" s="21" t="s">
        <v>54</v>
      </c>
      <c r="K20" s="23" t="s">
        <v>33</v>
      </c>
      <c r="L20" s="24">
        <v>16.695</v>
      </c>
      <c r="M20" s="24">
        <v>36.466666666666669</v>
      </c>
      <c r="N20" s="22">
        <f t="shared" si="3"/>
        <v>29.889628249847362</v>
      </c>
      <c r="P20" s="13" t="str">
        <v>*</v>
      </c>
      <c r="Q20" s="49" t="str">
        <v>M26</v>
      </c>
      <c r="R20" s="14" t="str">
        <v>-</v>
      </c>
      <c r="S20" s="55">
        <v>178.82538090090054</v>
      </c>
      <c r="T20" s="55">
        <v>34.143040886212866</v>
      </c>
      <c r="U20" s="13" t="str">
        <v/>
      </c>
      <c r="V20" s="56" t="str">
        <v>Moderate</v>
      </c>
      <c r="W20" s="13">
        <v>18.753333333333334</v>
      </c>
      <c r="X20" s="13">
        <v>-9.4</v>
      </c>
      <c r="Y20" s="13">
        <v>-0.98537175015263756</v>
      </c>
    </row>
    <row r="21" spans="2:25">
      <c r="B21" s="173"/>
      <c r="C21" s="72"/>
      <c r="D21" s="70"/>
      <c r="E21" s="158" t="str">
        <f t="shared" si="0"/>
        <v>*</v>
      </c>
      <c r="F21" s="21" t="s">
        <v>55</v>
      </c>
      <c r="G21" s="89" t="s">
        <v>253</v>
      </c>
      <c r="H21" s="22">
        <f t="shared" si="1"/>
        <v>200.4304339360678</v>
      </c>
      <c r="I21" s="22">
        <f t="shared" si="2"/>
        <v>38.347124769995183</v>
      </c>
      <c r="J21" s="21" t="s">
        <v>22</v>
      </c>
      <c r="K21" s="23" t="s">
        <v>19</v>
      </c>
      <c r="L21" s="24">
        <v>17.626666666666665</v>
      </c>
      <c r="M21" s="24">
        <v>-3.25</v>
      </c>
      <c r="N21" s="22">
        <f t="shared" si="3"/>
        <v>15.914628249847397</v>
      </c>
      <c r="P21" s="13" t="str">
        <v>*</v>
      </c>
      <c r="Q21" s="49" t="str">
        <v>M27</v>
      </c>
      <c r="R21" s="14" t="str">
        <v>-</v>
      </c>
      <c r="S21" s="55">
        <v>139.63755242794696</v>
      </c>
      <c r="T21" s="55">
        <v>61.480926235245924</v>
      </c>
      <c r="U21" s="13" t="str">
        <v>Dumbbell Nebula, Apple Core Nebula</v>
      </c>
      <c r="V21" s="56" t="str">
        <v>Easy</v>
      </c>
      <c r="W21" s="13">
        <v>19.993333333333332</v>
      </c>
      <c r="X21" s="13">
        <v>22.716666666666665</v>
      </c>
      <c r="Y21" s="13">
        <v>-19.585371750152603</v>
      </c>
    </row>
    <row r="22" spans="2:25">
      <c r="B22" s="173"/>
      <c r="C22" s="72"/>
      <c r="D22" s="70"/>
      <c r="E22" s="158" t="str">
        <f t="shared" si="0"/>
        <v>*</v>
      </c>
      <c r="F22" s="21" t="s">
        <v>56</v>
      </c>
      <c r="G22" s="89" t="s">
        <v>253</v>
      </c>
      <c r="H22" s="22">
        <f t="shared" si="1"/>
        <v>120.05027615252615</v>
      </c>
      <c r="I22" s="22">
        <f t="shared" si="2"/>
        <v>40.677944734464425</v>
      </c>
      <c r="J22" s="21" t="s">
        <v>57</v>
      </c>
      <c r="K22" s="23" t="s">
        <v>23</v>
      </c>
      <c r="L22" s="24">
        <v>21.5</v>
      </c>
      <c r="M22" s="24">
        <v>12.166666666666666</v>
      </c>
      <c r="N22" s="22">
        <f t="shared" si="3"/>
        <v>-42.185371750152626</v>
      </c>
      <c r="P22" s="13" t="str">
        <v>*</v>
      </c>
      <c r="Q22" s="49" t="str">
        <v>M29</v>
      </c>
      <c r="R22" s="14" t="str">
        <v>-</v>
      </c>
      <c r="S22" s="55">
        <v>103.57893457505958</v>
      </c>
      <c r="T22" s="55">
        <v>69.605541543956605</v>
      </c>
      <c r="U22" s="13" t="str">
        <v>Cooling Tower</v>
      </c>
      <c r="V22" s="56" t="str">
        <v>Easy</v>
      </c>
      <c r="W22" s="13">
        <v>20.398333333333333</v>
      </c>
      <c r="X22" s="13">
        <v>38.533333333333331</v>
      </c>
      <c r="Y22" s="13">
        <v>-25.660371750152592</v>
      </c>
    </row>
    <row r="23" spans="2:25">
      <c r="B23" s="173"/>
      <c r="C23" s="72"/>
      <c r="D23" s="70"/>
      <c r="E23" s="158" t="str">
        <f t="shared" si="0"/>
        <v>*</v>
      </c>
      <c r="F23" s="21" t="s">
        <v>58</v>
      </c>
      <c r="G23" s="89" t="s">
        <v>253</v>
      </c>
      <c r="H23" s="22">
        <f t="shared" si="1"/>
        <v>186.27108667520085</v>
      </c>
      <c r="I23" s="22">
        <f t="shared" si="2"/>
        <v>29.554996913562192</v>
      </c>
      <c r="J23" s="21" t="s">
        <v>59</v>
      </c>
      <c r="K23" s="23" t="s">
        <v>23</v>
      </c>
      <c r="L23" s="24">
        <v>18.313333333333333</v>
      </c>
      <c r="M23" s="24">
        <v>-13.783333333333333</v>
      </c>
      <c r="N23" s="22">
        <f t="shared" si="3"/>
        <v>5.6146282498473852</v>
      </c>
      <c r="P23" s="13" t="str">
        <v>*</v>
      </c>
      <c r="Q23" s="49" t="str">
        <v>M31</v>
      </c>
      <c r="R23" s="14" t="str">
        <v>-</v>
      </c>
      <c r="S23" s="55">
        <v>58.652277991943798</v>
      </c>
      <c r="T23" s="55">
        <v>28.344866843114509</v>
      </c>
      <c r="U23" s="13" t="str">
        <v>Andromeda Galaxy</v>
      </c>
      <c r="V23" s="56" t="str">
        <v>Easy</v>
      </c>
      <c r="W23" s="13">
        <v>0.71166666666666667</v>
      </c>
      <c r="X23" s="13">
        <v>41.266666666666666</v>
      </c>
      <c r="Y23" s="13">
        <v>269.63962824984736</v>
      </c>
    </row>
    <row r="24" spans="2:25">
      <c r="B24" s="174"/>
      <c r="C24" s="73"/>
      <c r="D24" s="70"/>
      <c r="E24" s="158" t="str">
        <f t="shared" si="0"/>
        <v>*</v>
      </c>
      <c r="F24" s="21" t="s">
        <v>60</v>
      </c>
      <c r="G24" s="89" t="s">
        <v>253</v>
      </c>
      <c r="H24" s="22">
        <f t="shared" si="1"/>
        <v>185.52374150518042</v>
      </c>
      <c r="I24" s="22">
        <f t="shared" si="2"/>
        <v>27.196821526218919</v>
      </c>
      <c r="J24" s="21" t="s">
        <v>61</v>
      </c>
      <c r="K24" s="23" t="s">
        <v>23</v>
      </c>
      <c r="L24" s="24">
        <v>18.346666666666668</v>
      </c>
      <c r="M24" s="24">
        <v>-16.183333333333334</v>
      </c>
      <c r="N24" s="22">
        <f t="shared" si="3"/>
        <v>5.1146282498473852</v>
      </c>
      <c r="P24" s="13" t="str">
        <v>*</v>
      </c>
      <c r="Q24" s="49" t="str">
        <v>M32</v>
      </c>
      <c r="R24" s="14" t="str">
        <v>-</v>
      </c>
      <c r="S24" s="55">
        <v>59.007236650963215</v>
      </c>
      <c r="T24" s="55">
        <v>28.095513562323958</v>
      </c>
      <c r="U24" s="13" t="str">
        <v>"Le Gentil" (Satellite of M31)</v>
      </c>
      <c r="V24" s="56" t="str">
        <v>Easy</v>
      </c>
      <c r="W24" s="13">
        <v>0.71166666666666667</v>
      </c>
      <c r="X24" s="13">
        <v>40.866666666666667</v>
      </c>
      <c r="Y24" s="13">
        <v>269.63962824984736</v>
      </c>
    </row>
    <row r="25" spans="2:25">
      <c r="E25" s="158" t="str">
        <f t="shared" si="0"/>
        <v>*</v>
      </c>
      <c r="F25" s="21" t="s">
        <v>62</v>
      </c>
      <c r="G25" s="89" t="s">
        <v>253</v>
      </c>
      <c r="H25" s="22">
        <f t="shared" si="1"/>
        <v>185.68973098730183</v>
      </c>
      <c r="I25" s="22">
        <f t="shared" si="2"/>
        <v>26.234023341585004</v>
      </c>
      <c r="J25" s="21" t="s">
        <v>63</v>
      </c>
      <c r="K25" s="23" t="s">
        <v>19</v>
      </c>
      <c r="L25" s="24">
        <v>18.331666666666667</v>
      </c>
      <c r="M25" s="24">
        <v>-17.133333333333333</v>
      </c>
      <c r="N25" s="22">
        <f t="shared" si="3"/>
        <v>5.3396282498473511</v>
      </c>
      <c r="P25" s="13" t="str">
        <v>*</v>
      </c>
      <c r="Q25" s="49" t="str">
        <v>M39</v>
      </c>
      <c r="R25" s="14" t="str">
        <v>-</v>
      </c>
      <c r="S25" s="55">
        <v>70.179356468164585</v>
      </c>
      <c r="T25" s="55">
        <v>61.40552841957301</v>
      </c>
      <c r="U25" s="13" t="str">
        <v/>
      </c>
      <c r="V25" s="56" t="str">
        <v>Easy</v>
      </c>
      <c r="W25" s="13">
        <v>21.536666666666665</v>
      </c>
      <c r="X25" s="13">
        <v>48.43333333333333</v>
      </c>
      <c r="Y25" s="13">
        <v>-42.735371750152581</v>
      </c>
    </row>
    <row r="26" spans="2:25">
      <c r="E26" s="158" t="str">
        <f t="shared" si="0"/>
        <v/>
      </c>
      <c r="F26" s="21" t="s">
        <v>64</v>
      </c>
      <c r="G26" s="89" t="s">
        <v>253</v>
      </c>
      <c r="H26" s="22">
        <f t="shared" si="1"/>
        <v>202.67819996033344</v>
      </c>
      <c r="I26" s="22">
        <f t="shared" si="2"/>
        <v>13.929548190968736</v>
      </c>
      <c r="J26" s="21" t="s">
        <v>22</v>
      </c>
      <c r="K26" s="23" t="s">
        <v>19</v>
      </c>
      <c r="L26" s="24">
        <v>17.043333333333333</v>
      </c>
      <c r="M26" s="24">
        <v>-26.266666666666666</v>
      </c>
      <c r="N26" s="22">
        <f t="shared" si="3"/>
        <v>24.664628249847368</v>
      </c>
      <c r="P26" s="13" t="str">
        <v>*</v>
      </c>
      <c r="Q26" s="49" t="str">
        <v>M40</v>
      </c>
      <c r="R26" s="14" t="str">
        <v>-</v>
      </c>
      <c r="S26" s="55">
        <v>319.48993760987696</v>
      </c>
      <c r="T26" s="55">
        <v>35.799067127552185</v>
      </c>
      <c r="U26" s="13" t="str">
        <v>Winecke 4</v>
      </c>
      <c r="V26" s="56" t="str">
        <v>Easy</v>
      </c>
      <c r="W26" s="13">
        <v>12.37</v>
      </c>
      <c r="X26" s="13">
        <v>58.083333333333336</v>
      </c>
      <c r="Y26" s="13">
        <v>94.764628249847391</v>
      </c>
    </row>
    <row r="27" spans="2:25">
      <c r="B27" s="172" t="s">
        <v>254</v>
      </c>
      <c r="C27" s="172"/>
      <c r="D27" s="172"/>
      <c r="E27" s="158" t="str">
        <f t="shared" si="0"/>
        <v/>
      </c>
      <c r="F27" s="21" t="s">
        <v>65</v>
      </c>
      <c r="G27" s="89" t="s">
        <v>253</v>
      </c>
      <c r="H27" s="22">
        <f t="shared" si="1"/>
        <v>189.53396689768738</v>
      </c>
      <c r="I27" s="22">
        <f t="shared" si="2"/>
        <v>19.958592663577022</v>
      </c>
      <c r="J27" s="21" t="s">
        <v>66</v>
      </c>
      <c r="K27" s="23" t="s">
        <v>67</v>
      </c>
      <c r="L27" s="24">
        <v>18.038333333333334</v>
      </c>
      <c r="M27" s="24">
        <v>-23.033333333333335</v>
      </c>
      <c r="N27" s="22">
        <f t="shared" si="3"/>
        <v>9.7396282498473852</v>
      </c>
      <c r="P27" s="13" t="str">
        <v>*</v>
      </c>
      <c r="Q27" s="49" t="str">
        <v>M51</v>
      </c>
      <c r="R27" s="14" t="str">
        <v>-</v>
      </c>
      <c r="S27" s="55">
        <v>301.17141243629567</v>
      </c>
      <c r="T27" s="55">
        <v>39.079501254478835</v>
      </c>
      <c r="U27" s="13" t="str">
        <v>Whirlpool Galaxy</v>
      </c>
      <c r="V27" s="56" t="str">
        <v>Moderate</v>
      </c>
      <c r="W27" s="13">
        <v>13.498333333333333</v>
      </c>
      <c r="X27" s="13">
        <v>47.2</v>
      </c>
      <c r="Y27" s="13">
        <v>77.839628249847379</v>
      </c>
    </row>
    <row r="28" spans="2:25">
      <c r="B28" s="101" t="s">
        <v>255</v>
      </c>
      <c r="C28" s="102" t="s">
        <v>256</v>
      </c>
      <c r="D28" s="103" t="s">
        <v>257</v>
      </c>
      <c r="E28" s="158" t="str">
        <f t="shared" si="0"/>
        <v/>
      </c>
      <c r="F28" s="21" t="s">
        <v>68</v>
      </c>
      <c r="G28" s="89" t="s">
        <v>253</v>
      </c>
      <c r="H28" s="22">
        <f t="shared" si="1"/>
        <v>189.04150162199522</v>
      </c>
      <c r="I28" s="22">
        <f t="shared" si="2"/>
        <v>20.551975067246882</v>
      </c>
      <c r="J28" s="21" t="s">
        <v>69</v>
      </c>
      <c r="K28" s="23" t="s">
        <v>19</v>
      </c>
      <c r="L28" s="24">
        <v>18.076666666666668</v>
      </c>
      <c r="M28" s="24">
        <v>-22.5</v>
      </c>
      <c r="N28" s="22">
        <f t="shared" si="3"/>
        <v>9.1646282498473397</v>
      </c>
      <c r="P28" s="13" t="str">
        <v>*</v>
      </c>
      <c r="Q28" s="49" t="str">
        <v>M52</v>
      </c>
      <c r="R28" s="14" t="str">
        <v>-</v>
      </c>
      <c r="S28" s="55">
        <v>42.388217815045984</v>
      </c>
      <c r="T28" s="55">
        <v>48.212554875434137</v>
      </c>
      <c r="U28" s="13" t="str">
        <v>Scorpion Cluster (Cassiopeia Salt-and-Pepper)</v>
      </c>
      <c r="V28" s="56" t="str">
        <v>Easy</v>
      </c>
      <c r="W28" s="13">
        <v>23.403333333333332</v>
      </c>
      <c r="X28" s="13">
        <v>61.583333333333336</v>
      </c>
      <c r="Y28" s="13">
        <v>-70.735371750152638</v>
      </c>
    </row>
    <row r="29" spans="2:25">
      <c r="B29" s="104" t="s">
        <v>247</v>
      </c>
      <c r="C29" s="154">
        <v>46.45</v>
      </c>
      <c r="D29" s="154">
        <v>7.42</v>
      </c>
      <c r="E29" s="158" t="str">
        <f t="shared" ref="E29:E92" si="4">IF(AND(I29&gt;=$I$4,I29&lt;=$I$6,H29&gt;=$H$4,H29&lt;=$H$6),IF(VLOOKUP(G29,$C$19:$D$24,2,FALSE)="yes","*","-"),"")</f>
        <v/>
      </c>
      <c r="F29" s="21" t="s">
        <v>70</v>
      </c>
      <c r="G29" s="89" t="s">
        <v>253</v>
      </c>
      <c r="H29" s="22">
        <f t="shared" si="1"/>
        <v>181.17907871565384</v>
      </c>
      <c r="I29" s="22">
        <f t="shared" si="2"/>
        <v>19.641389228980842</v>
      </c>
      <c r="J29" s="21" t="s">
        <v>71</v>
      </c>
      <c r="K29" s="23" t="s">
        <v>33</v>
      </c>
      <c r="L29" s="24">
        <v>18.606666666666666</v>
      </c>
      <c r="M29" s="24">
        <v>-23.9</v>
      </c>
      <c r="N29" s="22">
        <f t="shared" si="3"/>
        <v>1.2146282498474079</v>
      </c>
      <c r="P29" s="13" t="str">
        <v>*</v>
      </c>
      <c r="Q29" s="49" t="str">
        <v>M56</v>
      </c>
      <c r="R29" s="14" t="str">
        <v>-</v>
      </c>
      <c r="S29" s="55">
        <v>154.03743110095695</v>
      </c>
      <c r="T29" s="55">
        <v>72.34522568565869</v>
      </c>
      <c r="U29" s="13" t="str">
        <v/>
      </c>
      <c r="V29" s="56" t="str">
        <v>Moderate</v>
      </c>
      <c r="W29" s="13">
        <v>19.276666666666667</v>
      </c>
      <c r="X29" s="13">
        <v>30.183333333333334</v>
      </c>
      <c r="Y29" s="13">
        <v>-8.8353717501526035</v>
      </c>
    </row>
    <row r="30" spans="2:25">
      <c r="B30" s="104"/>
      <c r="C30" s="154"/>
      <c r="D30" s="154"/>
      <c r="E30" s="158" t="str">
        <f t="shared" si="4"/>
        <v/>
      </c>
      <c r="F30" s="21" t="s">
        <v>72</v>
      </c>
      <c r="G30" s="89" t="s">
        <v>253</v>
      </c>
      <c r="H30" s="22">
        <f t="shared" si="1"/>
        <v>191.48662278636735</v>
      </c>
      <c r="I30" s="22">
        <f t="shared" si="2"/>
        <v>23.766161023045395</v>
      </c>
      <c r="J30" s="21" t="s">
        <v>22</v>
      </c>
      <c r="K30" s="23" t="s">
        <v>23</v>
      </c>
      <c r="L30" s="24">
        <v>17.946666666666665</v>
      </c>
      <c r="M30" s="24">
        <v>-19.016666666666666</v>
      </c>
      <c r="N30" s="22">
        <f t="shared" si="3"/>
        <v>11.114628249847385</v>
      </c>
      <c r="P30" s="13" t="str">
        <v>*</v>
      </c>
      <c r="Q30" s="49" t="str">
        <v>M57</v>
      </c>
      <c r="R30" s="14" t="str">
        <v>-</v>
      </c>
      <c r="S30" s="55">
        <v>168.95405023669989</v>
      </c>
      <c r="T30" s="55">
        <v>76.378121306076068</v>
      </c>
      <c r="U30" s="13" t="str">
        <v>Ring Nebula</v>
      </c>
      <c r="V30" s="56" t="str">
        <v>Easy</v>
      </c>
      <c r="W30" s="13">
        <v>18.893333333333334</v>
      </c>
      <c r="X30" s="13">
        <v>33.033333333333331</v>
      </c>
      <c r="Y30" s="13">
        <v>-3.0853717501526603</v>
      </c>
    </row>
    <row r="31" spans="2:25">
      <c r="B31" s="104"/>
      <c r="C31" s="154"/>
      <c r="D31" s="154"/>
      <c r="E31" s="158" t="str">
        <f t="shared" si="4"/>
        <v/>
      </c>
      <c r="F31" s="21" t="s">
        <v>73</v>
      </c>
      <c r="G31" s="89" t="s">
        <v>253</v>
      </c>
      <c r="H31" s="22">
        <f t="shared" si="1"/>
        <v>185.97989713174761</v>
      </c>
      <c r="I31" s="22">
        <f t="shared" si="2"/>
        <v>24.927898186807482</v>
      </c>
      <c r="J31" s="21" t="s">
        <v>74</v>
      </c>
      <c r="K31" s="23" t="s">
        <v>19</v>
      </c>
      <c r="L31" s="24">
        <v>18.306666666666665</v>
      </c>
      <c r="M31" s="24">
        <v>-18.416666666666668</v>
      </c>
      <c r="N31" s="22">
        <f t="shared" si="3"/>
        <v>5.7146282498474079</v>
      </c>
      <c r="P31" s="13" t="str">
        <v>*</v>
      </c>
      <c r="Q31" s="49" t="str">
        <v>M63</v>
      </c>
      <c r="R31" s="14" t="str">
        <v>-</v>
      </c>
      <c r="S31" s="55">
        <v>297.39071956821238</v>
      </c>
      <c r="T31" s="55">
        <v>34.202416778997303</v>
      </c>
      <c r="U31" s="13" t="str">
        <v>Sunflower Galaxy</v>
      </c>
      <c r="V31" s="56" t="str">
        <v>Moderate</v>
      </c>
      <c r="W31" s="13">
        <v>13.263333333333334</v>
      </c>
      <c r="X31" s="13">
        <v>42.033333333333331</v>
      </c>
      <c r="Y31" s="13">
        <v>81.364628249847357</v>
      </c>
    </row>
    <row r="32" spans="2:25">
      <c r="B32" s="104"/>
      <c r="C32" s="154"/>
      <c r="D32" s="154"/>
      <c r="E32" s="158" t="str">
        <f t="shared" si="4"/>
        <v/>
      </c>
      <c r="F32" s="21" t="s">
        <v>75</v>
      </c>
      <c r="G32" s="89" t="s">
        <v>253</v>
      </c>
      <c r="H32" s="22">
        <f t="shared" si="1"/>
        <v>182.47526296932051</v>
      </c>
      <c r="I32" s="22">
        <f t="shared" si="2"/>
        <v>24.281103617931702</v>
      </c>
      <c r="J32" s="21" t="s">
        <v>76</v>
      </c>
      <c r="K32" s="23" t="s">
        <v>23</v>
      </c>
      <c r="L32" s="24">
        <v>18.528333333333332</v>
      </c>
      <c r="M32" s="24">
        <v>-19.233333333333334</v>
      </c>
      <c r="N32" s="22">
        <f t="shared" si="3"/>
        <v>2.3896282498473624</v>
      </c>
      <c r="P32" s="13" t="str">
        <v>*</v>
      </c>
      <c r="Q32" s="49" t="str">
        <v>M71</v>
      </c>
      <c r="R32" s="14" t="str">
        <v>-</v>
      </c>
      <c r="S32" s="55">
        <v>145.59143027200705</v>
      </c>
      <c r="T32" s="55">
        <v>58.568079097396335</v>
      </c>
      <c r="U32" s="13" t="str">
        <v>Angelfish Cluster</v>
      </c>
      <c r="V32" s="56" t="str">
        <v>Moderate</v>
      </c>
      <c r="W32" s="13">
        <v>19.896666666666668</v>
      </c>
      <c r="X32" s="13">
        <v>18.783333333333335</v>
      </c>
      <c r="Y32" s="13">
        <v>-18.135371750152615</v>
      </c>
    </row>
    <row r="33" spans="2:25">
      <c r="B33" s="104"/>
      <c r="C33" s="154"/>
      <c r="D33" s="154"/>
      <c r="E33" s="158" t="str">
        <f t="shared" si="4"/>
        <v>*</v>
      </c>
      <c r="F33" s="21" t="s">
        <v>77</v>
      </c>
      <c r="G33" s="89" t="s">
        <v>253</v>
      </c>
      <c r="H33" s="22">
        <f t="shared" si="1"/>
        <v>178.82538090090054</v>
      </c>
      <c r="I33" s="22">
        <f t="shared" si="2"/>
        <v>34.143040886212866</v>
      </c>
      <c r="J33" s="21" t="s">
        <v>22</v>
      </c>
      <c r="K33" s="23" t="s">
        <v>19</v>
      </c>
      <c r="L33" s="24">
        <v>18.753333333333334</v>
      </c>
      <c r="M33" s="24">
        <v>-9.4</v>
      </c>
      <c r="N33" s="22">
        <f t="shared" si="3"/>
        <v>-0.98537175015263756</v>
      </c>
      <c r="P33" s="13" t="str">
        <v>*</v>
      </c>
      <c r="Q33" s="49" t="str">
        <v>M76</v>
      </c>
      <c r="R33" s="14" t="str">
        <v>-</v>
      </c>
      <c r="S33" s="55">
        <v>42.33291909287086</v>
      </c>
      <c r="T33" s="55">
        <v>27.065779821173379</v>
      </c>
      <c r="U33" s="13" t="str">
        <v>Little Dumbbell, Cork, Butterfly Nebula</v>
      </c>
      <c r="V33" s="56" t="str">
        <v>Moderate</v>
      </c>
      <c r="W33" s="13">
        <v>1.7050000000000001</v>
      </c>
      <c r="X33" s="13">
        <v>51.56666666666667</v>
      </c>
      <c r="Y33" s="13">
        <v>254.73962824984739</v>
      </c>
    </row>
    <row r="34" spans="2:25">
      <c r="E34" s="158" t="str">
        <f t="shared" si="4"/>
        <v>*</v>
      </c>
      <c r="F34" s="21" t="s">
        <v>78</v>
      </c>
      <c r="G34" s="89" t="s">
        <v>253</v>
      </c>
      <c r="H34" s="22">
        <f t="shared" si="1"/>
        <v>139.63755242794696</v>
      </c>
      <c r="I34" s="22">
        <f t="shared" si="2"/>
        <v>61.480926235245924</v>
      </c>
      <c r="J34" s="21" t="s">
        <v>79</v>
      </c>
      <c r="K34" s="23" t="s">
        <v>23</v>
      </c>
      <c r="L34" s="24">
        <v>19.993333333333332</v>
      </c>
      <c r="M34" s="24">
        <v>22.716666666666665</v>
      </c>
      <c r="N34" s="22">
        <f t="shared" si="3"/>
        <v>-19.585371750152603</v>
      </c>
      <c r="P34" s="13" t="str">
        <v>*</v>
      </c>
      <c r="Q34" s="49" t="str">
        <v>M81</v>
      </c>
      <c r="R34" s="14" t="str">
        <v>-</v>
      </c>
      <c r="S34" s="55">
        <v>341.79711070842404</v>
      </c>
      <c r="T34" s="55">
        <v>30.937234515062002</v>
      </c>
      <c r="U34" s="13" t="str">
        <v>Bode's Galaxy</v>
      </c>
      <c r="V34" s="56" t="str">
        <v>Easy</v>
      </c>
      <c r="W34" s="13">
        <v>9.9266666666666659</v>
      </c>
      <c r="X34" s="13">
        <v>69.066666666666663</v>
      </c>
      <c r="Y34" s="13">
        <v>131.41462824984737</v>
      </c>
    </row>
    <row r="35" spans="2:25">
      <c r="E35" s="158" t="str">
        <f t="shared" si="4"/>
        <v/>
      </c>
      <c r="F35" s="21" t="s">
        <v>80</v>
      </c>
      <c r="G35" s="89" t="s">
        <v>253</v>
      </c>
      <c r="H35" s="22">
        <f t="shared" si="1"/>
        <v>184.00997132159227</v>
      </c>
      <c r="I35" s="22">
        <f t="shared" si="2"/>
        <v>18.582328241202536</v>
      </c>
      <c r="J35" s="21" t="s">
        <v>22</v>
      </c>
      <c r="K35" s="23" t="s">
        <v>23</v>
      </c>
      <c r="L35" s="24">
        <v>18.408333333333335</v>
      </c>
      <c r="M35" s="24">
        <v>-24.866666666666667</v>
      </c>
      <c r="N35" s="22">
        <f t="shared" si="3"/>
        <v>4.189628249847317</v>
      </c>
      <c r="P35" s="13" t="str">
        <v>*</v>
      </c>
      <c r="Q35" s="49" t="str">
        <v>M82</v>
      </c>
      <c r="R35" s="14" t="str">
        <v>-</v>
      </c>
      <c r="S35" s="55">
        <v>342.21627208581657</v>
      </c>
      <c r="T35" s="55">
        <v>31.439240501301821</v>
      </c>
      <c r="U35" s="13" t="str">
        <v>Cigar Galaxy</v>
      </c>
      <c r="V35" s="56" t="str">
        <v>Easy</v>
      </c>
      <c r="W35" s="13">
        <v>9.93</v>
      </c>
      <c r="X35" s="13">
        <v>69.683333333333337</v>
      </c>
      <c r="Y35" s="13">
        <v>131.36462824984739</v>
      </c>
    </row>
    <row r="36" spans="2:25">
      <c r="B36" s="175" t="str">
        <f>CONCATENATE("Moon's illuminated fraction: ",TEXT(Illumination!C8*100,"0.00"),"%")</f>
        <v>Moon's illuminated fraction: 17.47%</v>
      </c>
      <c r="C36" s="176"/>
      <c r="D36" s="177"/>
      <c r="E36" s="158" t="str">
        <f t="shared" si="4"/>
        <v>*</v>
      </c>
      <c r="F36" s="21" t="s">
        <v>81</v>
      </c>
      <c r="G36" s="89" t="s">
        <v>253</v>
      </c>
      <c r="H36" s="22">
        <f t="shared" si="1"/>
        <v>103.57893457505958</v>
      </c>
      <c r="I36" s="22">
        <f t="shared" si="2"/>
        <v>69.605541543956605</v>
      </c>
      <c r="J36" s="21" t="s">
        <v>82</v>
      </c>
      <c r="K36" s="23" t="s">
        <v>23</v>
      </c>
      <c r="L36" s="24">
        <v>20.398333333333333</v>
      </c>
      <c r="M36" s="24">
        <v>38.533333333333331</v>
      </c>
      <c r="N36" s="22">
        <f t="shared" si="3"/>
        <v>-25.660371750152592</v>
      </c>
      <c r="P36" s="13" t="str">
        <v>*</v>
      </c>
      <c r="Q36" s="49" t="str">
        <v>M92</v>
      </c>
      <c r="R36" s="14" t="str">
        <v>-</v>
      </c>
      <c r="S36" s="55">
        <v>265.07133551611173</v>
      </c>
      <c r="T36" s="55">
        <v>74.753769089635426</v>
      </c>
      <c r="U36" s="13" t="str">
        <v/>
      </c>
      <c r="V36" s="56" t="str">
        <v>Easy</v>
      </c>
      <c r="W36" s="13">
        <v>17.285</v>
      </c>
      <c r="X36" s="13">
        <v>43.133333333333333</v>
      </c>
      <c r="Y36" s="13">
        <v>21.039628249847397</v>
      </c>
    </row>
    <row r="37" spans="2:25">
      <c r="E37" s="158" t="str">
        <f t="shared" si="4"/>
        <v/>
      </c>
      <c r="F37" s="21" t="s">
        <v>83</v>
      </c>
      <c r="G37" s="89" t="s">
        <v>253</v>
      </c>
      <c r="H37" s="22">
        <f t="shared" si="1"/>
        <v>138.96815795387241</v>
      </c>
      <c r="I37" s="22">
        <f t="shared" si="2"/>
        <v>9.4505786900337352</v>
      </c>
      <c r="J37" s="21" t="s">
        <v>84</v>
      </c>
      <c r="K37" s="23" t="s">
        <v>23</v>
      </c>
      <c r="L37" s="24">
        <v>21.673333333333332</v>
      </c>
      <c r="M37" s="24">
        <v>-23.183333333333334</v>
      </c>
      <c r="N37" s="22">
        <f t="shared" si="3"/>
        <v>-44.785371750152592</v>
      </c>
      <c r="P37" s="13" t="str">
        <v>*</v>
      </c>
      <c r="Q37" s="49" t="str">
        <v>M94</v>
      </c>
      <c r="R37" s="14" t="str">
        <v>-</v>
      </c>
      <c r="S37" s="55">
        <v>299.74447244141356</v>
      </c>
      <c r="T37" s="55">
        <v>29.896643598560793</v>
      </c>
      <c r="U37" s="13" t="str">
        <v>Cat's (Crocodile's) Eye Galaxy</v>
      </c>
      <c r="V37" s="56" t="str">
        <v>Moderate</v>
      </c>
      <c r="W37" s="13">
        <v>12.848333333333333</v>
      </c>
      <c r="X37" s="13">
        <v>41.116666666666667</v>
      </c>
      <c r="Y37" s="13">
        <v>87.589628249847379</v>
      </c>
    </row>
    <row r="38" spans="2:25">
      <c r="E38" s="158" t="str">
        <f t="shared" si="4"/>
        <v>*</v>
      </c>
      <c r="F38" s="21" t="s">
        <v>85</v>
      </c>
      <c r="G38" s="89" t="s">
        <v>253</v>
      </c>
      <c r="H38" s="22">
        <f t="shared" si="1"/>
        <v>58.652277991943798</v>
      </c>
      <c r="I38" s="22">
        <f t="shared" si="2"/>
        <v>28.344866843114509</v>
      </c>
      <c r="J38" s="21" t="s">
        <v>86</v>
      </c>
      <c r="K38" s="23" t="s">
        <v>23</v>
      </c>
      <c r="L38" s="24">
        <v>0.71166666666666667</v>
      </c>
      <c r="M38" s="24">
        <v>41.266666666666666</v>
      </c>
      <c r="N38" s="22">
        <f t="shared" si="3"/>
        <v>269.63962824984736</v>
      </c>
      <c r="P38" s="13" t="str">
        <v>*</v>
      </c>
      <c r="Q38" s="49" t="str">
        <v>M97</v>
      </c>
      <c r="R38" s="14" t="str">
        <v>-</v>
      </c>
      <c r="S38" s="55">
        <v>323.39442865942158</v>
      </c>
      <c r="T38" s="55">
        <v>26.6352546096807</v>
      </c>
      <c r="U38" s="13" t="str">
        <v>Owl Nebula</v>
      </c>
      <c r="V38" s="56" t="str">
        <v>Very Hard</v>
      </c>
      <c r="W38" s="13">
        <v>11.246666666666666</v>
      </c>
      <c r="X38" s="13">
        <v>55.016666666666666</v>
      </c>
      <c r="Y38" s="13">
        <v>111.61462824984739</v>
      </c>
    </row>
    <row r="39" spans="2:25">
      <c r="E39" s="158" t="str">
        <f t="shared" si="4"/>
        <v>*</v>
      </c>
      <c r="F39" s="21" t="s">
        <v>87</v>
      </c>
      <c r="G39" s="89" t="s">
        <v>253</v>
      </c>
      <c r="H39" s="22">
        <f t="shared" si="1"/>
        <v>59.007236650963215</v>
      </c>
      <c r="I39" s="22">
        <f t="shared" si="2"/>
        <v>28.095513562323958</v>
      </c>
      <c r="J39" s="21" t="s">
        <v>88</v>
      </c>
      <c r="K39" s="23" t="s">
        <v>23</v>
      </c>
      <c r="L39" s="24">
        <v>0.71166666666666667</v>
      </c>
      <c r="M39" s="24">
        <v>40.866666666666667</v>
      </c>
      <c r="N39" s="22">
        <f t="shared" si="3"/>
        <v>269.63962824984736</v>
      </c>
      <c r="P39" s="13" t="str">
        <v>*</v>
      </c>
      <c r="Q39" s="49" t="str">
        <v>M101</v>
      </c>
      <c r="R39" s="14" t="str">
        <v>-</v>
      </c>
      <c r="S39" s="55">
        <v>307.04082390408792</v>
      </c>
      <c r="T39" s="55">
        <v>46.842823013133255</v>
      </c>
      <c r="U39" s="13" t="str">
        <v>Pinwheel Galaxy</v>
      </c>
      <c r="V39" s="56" t="str">
        <v>Very Hard</v>
      </c>
      <c r="W39" s="13">
        <v>14.053333333333333</v>
      </c>
      <c r="X39" s="13">
        <v>54.35</v>
      </c>
      <c r="Y39" s="13">
        <v>69.514628249847391</v>
      </c>
    </row>
    <row r="40" spans="2:25">
      <c r="E40" s="158" t="str">
        <f t="shared" si="4"/>
        <v/>
      </c>
      <c r="F40" s="21" t="s">
        <v>89</v>
      </c>
      <c r="G40" s="89" t="s">
        <v>253</v>
      </c>
      <c r="H40" s="22">
        <f t="shared" ref="H40:H71" si="5">IF(SIN($N$120*N40)&lt;0,ACOS((SIN($N$120*M40)-SIN($N$120*I40)*SIN($N$120*$C$13))/(COS($N$120*I40)*COS($N$120*$C$13)))/$N$120,360-ACOS((SIN($N$120*M40)-SIN($N$120*I40)*SIN($N$120*$C$13))/(COS($N$120*I40)*COS($N$120*$C$13)))/$N$120)</f>
        <v>66.436611899599555</v>
      </c>
      <c r="I40" s="22">
        <f t="shared" ref="I40:I71" si="6">ASIN(SIN($N$120*M40)*SIN($N$120*$C$13)+COS($N$120*M40)*COS($N$120*$C$13)*COS($N$120*N40))/$N$120</f>
        <v>6.2466583067371655</v>
      </c>
      <c r="J40" s="21" t="s">
        <v>90</v>
      </c>
      <c r="K40" s="23" t="s">
        <v>29</v>
      </c>
      <c r="L40" s="24">
        <v>1.5649999999999999</v>
      </c>
      <c r="M40" s="24">
        <v>20.65</v>
      </c>
      <c r="N40" s="22">
        <f t="shared" ref="N40:N71" si="7">$C$16-((L40/24)*360)</f>
        <v>256.83962824984735</v>
      </c>
      <c r="P40" s="13" t="str">
        <v>*</v>
      </c>
      <c r="Q40" s="49" t="str">
        <v>M102</v>
      </c>
      <c r="R40" s="14" t="str">
        <v>-</v>
      </c>
      <c r="S40" s="55">
        <v>305.90224385029114</v>
      </c>
      <c r="T40" s="55">
        <v>55.968458250992342</v>
      </c>
      <c r="U40" s="13" t="str">
        <v>Spindle Galaxy</v>
      </c>
      <c r="V40" s="56" t="str">
        <v>Hard</v>
      </c>
      <c r="W40" s="13">
        <v>15.108333333333333</v>
      </c>
      <c r="X40" s="13">
        <v>55.766666666666666</v>
      </c>
      <c r="Y40" s="13">
        <v>53.689628249847402</v>
      </c>
    </row>
    <row r="41" spans="2:25">
      <c r="E41" s="158" t="str">
        <f t="shared" si="4"/>
        <v/>
      </c>
      <c r="F41" s="21" t="s">
        <v>91</v>
      </c>
      <c r="G41" s="89" t="s">
        <v>253</v>
      </c>
      <c r="H41" s="22">
        <f t="shared" si="5"/>
        <v>40.782124393284256</v>
      </c>
      <c r="I41" s="22">
        <f t="shared" si="6"/>
        <v>13.77073538281077</v>
      </c>
      <c r="J41" s="21" t="s">
        <v>92</v>
      </c>
      <c r="K41" s="23" t="s">
        <v>23</v>
      </c>
      <c r="L41" s="24">
        <v>2.7</v>
      </c>
      <c r="M41" s="24">
        <v>42.783333333333331</v>
      </c>
      <c r="N41" s="22">
        <f t="shared" si="7"/>
        <v>239.81462824984737</v>
      </c>
      <c r="P41" s="13" t="str">
        <v>*</v>
      </c>
      <c r="Q41" s="49" t="str">
        <v>M103</v>
      </c>
      <c r="R41" s="14" t="str">
        <v>-</v>
      </c>
      <c r="S41" s="55">
        <v>35.019497838568981</v>
      </c>
      <c r="T41" s="55">
        <v>33.799466031199202</v>
      </c>
      <c r="U41" s="13" t="str">
        <v/>
      </c>
      <c r="V41" s="56" t="str">
        <v>Easy</v>
      </c>
      <c r="W41" s="13">
        <v>1.5533333333333332</v>
      </c>
      <c r="X41" s="13">
        <v>60.7</v>
      </c>
      <c r="Y41" s="13">
        <v>257.01462824984736</v>
      </c>
    </row>
    <row r="42" spans="2:25">
      <c r="E42" s="158" t="str">
        <f t="shared" si="4"/>
        <v/>
      </c>
      <c r="F42" s="21" t="s">
        <v>93</v>
      </c>
      <c r="G42" s="89" t="s">
        <v>253</v>
      </c>
      <c r="H42" s="22">
        <f t="shared" si="5"/>
        <v>7.7862411726323479</v>
      </c>
      <c r="I42" s="22">
        <f t="shared" si="6"/>
        <v>-18.838056078521742</v>
      </c>
      <c r="J42" s="21" t="s">
        <v>94</v>
      </c>
      <c r="K42" s="23" t="s">
        <v>33</v>
      </c>
      <c r="L42" s="24">
        <v>6.1483333333333334</v>
      </c>
      <c r="M42" s="24">
        <v>24.333333333333332</v>
      </c>
      <c r="N42" s="22">
        <f t="shared" si="7"/>
        <v>188.08962824984735</v>
      </c>
      <c r="P42" s="13" t="str">
        <v>*</v>
      </c>
      <c r="Q42" s="49" t="str">
        <v>M106</v>
      </c>
      <c r="R42" s="14" t="str">
        <v>-</v>
      </c>
      <c r="S42" s="55">
        <v>309.37903391772392</v>
      </c>
      <c r="T42" s="55">
        <v>29.165809208382264</v>
      </c>
      <c r="U42" s="13" t="str">
        <v/>
      </c>
      <c r="V42" s="56" t="str">
        <v>Hard</v>
      </c>
      <c r="W42" s="13">
        <v>12.316666666666666</v>
      </c>
      <c r="X42" s="13">
        <v>47.3</v>
      </c>
      <c r="Y42" s="13">
        <v>95.564628249847402</v>
      </c>
    </row>
    <row r="43" spans="2:25">
      <c r="E43" s="158" t="str">
        <f t="shared" si="4"/>
        <v/>
      </c>
      <c r="F43" s="21" t="s">
        <v>95</v>
      </c>
      <c r="G43" s="89" t="s">
        <v>253</v>
      </c>
      <c r="H43" s="22">
        <f t="shared" si="5"/>
        <v>13.562564423213352</v>
      </c>
      <c r="I43" s="22">
        <f t="shared" si="6"/>
        <v>-8.0894498562969002</v>
      </c>
      <c r="J43" s="21" t="s">
        <v>96</v>
      </c>
      <c r="K43" s="23" t="s">
        <v>23</v>
      </c>
      <c r="L43" s="24">
        <v>5.6016666666666666</v>
      </c>
      <c r="M43" s="24">
        <v>34.133333333333333</v>
      </c>
      <c r="N43" s="22">
        <f t="shared" si="7"/>
        <v>196.2896282498474</v>
      </c>
      <c r="P43" s="13" t="str">
        <v>*</v>
      </c>
      <c r="Q43" s="49" t="str">
        <v>M108</v>
      </c>
      <c r="R43" s="14" t="str">
        <v>-</v>
      </c>
      <c r="S43" s="55">
        <v>324.28172642789474</v>
      </c>
      <c r="T43" s="55">
        <v>26.754365230329071</v>
      </c>
      <c r="U43" s="13" t="str">
        <v>Surfboard Galaxy</v>
      </c>
      <c r="V43" s="56" t="str">
        <v>Hard</v>
      </c>
      <c r="W43" s="13">
        <v>11.191666666666666</v>
      </c>
      <c r="X43" s="13">
        <v>55.666666666666664</v>
      </c>
      <c r="Y43" s="13">
        <v>112.43962824984737</v>
      </c>
    </row>
    <row r="44" spans="2:25">
      <c r="E44" s="158" t="str">
        <f t="shared" si="4"/>
        <v/>
      </c>
      <c r="F44" s="21" t="s">
        <v>97</v>
      </c>
      <c r="G44" s="89" t="s">
        <v>253</v>
      </c>
      <c r="H44" s="22">
        <f t="shared" si="5"/>
        <v>10.441044131448578</v>
      </c>
      <c r="I44" s="22">
        <f t="shared" si="6"/>
        <v>-10.233586218046071</v>
      </c>
      <c r="J44" s="21" t="s">
        <v>98</v>
      </c>
      <c r="K44" s="23" t="s">
        <v>23</v>
      </c>
      <c r="L44" s="24">
        <v>5.8733333333333331</v>
      </c>
      <c r="M44" s="24">
        <v>32.549999999999997</v>
      </c>
      <c r="N44" s="22">
        <f t="shared" si="7"/>
        <v>192.21462824984738</v>
      </c>
      <c r="P44" s="13" t="str">
        <v>*</v>
      </c>
      <c r="Q44" s="49" t="str">
        <v>M109</v>
      </c>
      <c r="R44" s="14" t="str">
        <v>-</v>
      </c>
      <c r="S44" s="55">
        <v>317.30819925113349</v>
      </c>
      <c r="T44" s="55">
        <v>30.259871107611865</v>
      </c>
      <c r="U44" s="13" t="str">
        <v>Vacuum Cleaner Galaxy</v>
      </c>
      <c r="V44" s="56" t="str">
        <v>Hard</v>
      </c>
      <c r="W44" s="13">
        <v>11.96</v>
      </c>
      <c r="X44" s="13">
        <v>53.383333333333333</v>
      </c>
      <c r="Y44" s="13">
        <v>100.91462824984737</v>
      </c>
    </row>
    <row r="45" spans="2:25">
      <c r="E45" s="158" t="str">
        <f t="shared" si="4"/>
        <v/>
      </c>
      <c r="F45" s="21" t="s">
        <v>99</v>
      </c>
      <c r="G45" s="89" t="s">
        <v>253</v>
      </c>
      <c r="H45" s="22">
        <f t="shared" si="5"/>
        <v>14.705432179802257</v>
      </c>
      <c r="I45" s="22">
        <f t="shared" si="6"/>
        <v>-6.1143706283578174</v>
      </c>
      <c r="J45" s="21" t="s">
        <v>100</v>
      </c>
      <c r="K45" s="23" t="s">
        <v>23</v>
      </c>
      <c r="L45" s="24">
        <v>5.4783333333333335</v>
      </c>
      <c r="M45" s="24">
        <v>35.833333333333336</v>
      </c>
      <c r="N45" s="22">
        <f t="shared" si="7"/>
        <v>198.13962824984736</v>
      </c>
      <c r="P45" s="13" t="str">
        <v>*</v>
      </c>
      <c r="Q45" s="49" t="str">
        <v>M110</v>
      </c>
      <c r="R45" s="14" t="str">
        <v>-</v>
      </c>
      <c r="S45" s="55">
        <v>58.583614823874569</v>
      </c>
      <c r="T45" s="55">
        <v>28.941170997405671</v>
      </c>
      <c r="U45" s="13" t="str">
        <v>Edward Young Star (Satellite of M31)</v>
      </c>
      <c r="V45" s="56" t="str">
        <v>Hard</v>
      </c>
      <c r="W45" s="13">
        <v>0.67333333333333334</v>
      </c>
      <c r="X45" s="13">
        <v>41.68333333333333</v>
      </c>
      <c r="Y45" s="13">
        <v>270.21462824984735</v>
      </c>
    </row>
    <row r="46" spans="2:25">
      <c r="E46" s="158" t="str">
        <f t="shared" si="4"/>
        <v>*</v>
      </c>
      <c r="F46" s="21" t="s">
        <v>101</v>
      </c>
      <c r="G46" s="89" t="s">
        <v>253</v>
      </c>
      <c r="H46" s="22">
        <f t="shared" si="5"/>
        <v>70.179356468164585</v>
      </c>
      <c r="I46" s="22">
        <f t="shared" si="6"/>
        <v>61.40552841957301</v>
      </c>
      <c r="J46" s="21" t="s">
        <v>22</v>
      </c>
      <c r="K46" s="23" t="s">
        <v>23</v>
      </c>
      <c r="L46" s="24">
        <v>21.536666666666665</v>
      </c>
      <c r="M46" s="24">
        <v>48.43333333333333</v>
      </c>
      <c r="N46" s="22">
        <f t="shared" si="7"/>
        <v>-42.735371750152581</v>
      </c>
      <c r="Q46" s="49"/>
      <c r="S46" s="55"/>
      <c r="T46" s="55"/>
      <c r="V46" s="56"/>
    </row>
    <row r="47" spans="2:25">
      <c r="E47" s="158" t="str">
        <f t="shared" si="4"/>
        <v>*</v>
      </c>
      <c r="F47" s="21" t="s">
        <v>102</v>
      </c>
      <c r="G47" s="89" t="s">
        <v>253</v>
      </c>
      <c r="H47" s="22">
        <f t="shared" si="5"/>
        <v>319.48993760987696</v>
      </c>
      <c r="I47" s="22">
        <f t="shared" si="6"/>
        <v>35.799067127552185</v>
      </c>
      <c r="J47" s="21" t="s">
        <v>103</v>
      </c>
      <c r="K47" s="23" t="s">
        <v>23</v>
      </c>
      <c r="L47" s="24">
        <v>12.37</v>
      </c>
      <c r="M47" s="24">
        <v>58.083333333333336</v>
      </c>
      <c r="N47" s="22">
        <f t="shared" si="7"/>
        <v>94.764628249847391</v>
      </c>
      <c r="Q47" s="49"/>
      <c r="S47" s="55"/>
      <c r="T47" s="55"/>
      <c r="V47" s="56"/>
    </row>
    <row r="48" spans="2:25">
      <c r="E48" s="158" t="str">
        <f t="shared" si="4"/>
        <v/>
      </c>
      <c r="F48" s="21" t="s">
        <v>104</v>
      </c>
      <c r="G48" s="89" t="s">
        <v>253</v>
      </c>
      <c r="H48" s="22">
        <f t="shared" si="5"/>
        <v>356.90812839568872</v>
      </c>
      <c r="I48" s="22">
        <f t="shared" si="6"/>
        <v>-64.256648397518319</v>
      </c>
      <c r="J48" s="21" t="s">
        <v>105</v>
      </c>
      <c r="K48" s="23" t="s">
        <v>23</v>
      </c>
      <c r="L48" s="24">
        <v>6.7833333333333332</v>
      </c>
      <c r="M48" s="24">
        <v>-20.733333333333334</v>
      </c>
      <c r="N48" s="22">
        <f t="shared" si="7"/>
        <v>178.56462824984737</v>
      </c>
      <c r="Q48" s="49"/>
      <c r="S48" s="55"/>
      <c r="T48" s="55"/>
      <c r="V48" s="56"/>
    </row>
    <row r="49" spans="2:22">
      <c r="E49" s="158" t="str">
        <f t="shared" si="4"/>
        <v/>
      </c>
      <c r="F49" s="21" t="s">
        <v>106</v>
      </c>
      <c r="G49" s="89" t="s">
        <v>253</v>
      </c>
      <c r="H49" s="22">
        <f t="shared" si="5"/>
        <v>24.245148362759913</v>
      </c>
      <c r="I49" s="22">
        <f t="shared" si="6"/>
        <v>-46.600885820077821</v>
      </c>
      <c r="J49" s="21" t="s">
        <v>107</v>
      </c>
      <c r="K49" s="23" t="s">
        <v>33</v>
      </c>
      <c r="L49" s="24">
        <v>5.59</v>
      </c>
      <c r="M49" s="24">
        <v>-5.45</v>
      </c>
      <c r="N49" s="22">
        <f t="shared" si="7"/>
        <v>196.46462824984738</v>
      </c>
      <c r="Q49" s="49"/>
      <c r="S49" s="55"/>
      <c r="T49" s="55"/>
      <c r="V49" s="56"/>
    </row>
    <row r="50" spans="2:22">
      <c r="E50" s="158" t="str">
        <f t="shared" si="4"/>
        <v/>
      </c>
      <c r="F50" s="21" t="s">
        <v>108</v>
      </c>
      <c r="G50" s="89" t="s">
        <v>253</v>
      </c>
      <c r="H50" s="22">
        <f t="shared" si="5"/>
        <v>24.100267966631471</v>
      </c>
      <c r="I50" s="22">
        <f t="shared" si="6"/>
        <v>-46.439173803241452</v>
      </c>
      <c r="J50" s="21" t="s">
        <v>109</v>
      </c>
      <c r="K50" s="23" t="s">
        <v>23</v>
      </c>
      <c r="L50" s="24">
        <v>5.5933333333333337</v>
      </c>
      <c r="M50" s="24">
        <v>-5.2666666666666666</v>
      </c>
      <c r="N50" s="22">
        <f t="shared" si="7"/>
        <v>196.41462824984737</v>
      </c>
      <c r="Q50" s="49"/>
      <c r="S50" s="55"/>
      <c r="T50" s="55"/>
      <c r="V50" s="56"/>
    </row>
    <row r="51" spans="2:22">
      <c r="E51" s="158" t="str">
        <f t="shared" si="4"/>
        <v/>
      </c>
      <c r="F51" s="21" t="s">
        <v>110</v>
      </c>
      <c r="G51" s="89" t="s">
        <v>253</v>
      </c>
      <c r="H51" s="22">
        <f t="shared" si="5"/>
        <v>330.61290489325722</v>
      </c>
      <c r="I51" s="22">
        <f t="shared" si="6"/>
        <v>-18.342464732117293</v>
      </c>
      <c r="J51" s="21" t="s">
        <v>111</v>
      </c>
      <c r="K51" s="23" t="s">
        <v>23</v>
      </c>
      <c r="L51" s="24">
        <v>8.668333333333333</v>
      </c>
      <c r="M51" s="24">
        <v>19.983333333333334</v>
      </c>
      <c r="N51" s="22">
        <f t="shared" si="7"/>
        <v>150.28962824984737</v>
      </c>
      <c r="Q51" s="49"/>
      <c r="S51" s="55"/>
      <c r="T51" s="55"/>
      <c r="V51" s="56"/>
    </row>
    <row r="52" spans="2:22">
      <c r="E52" s="158" t="str">
        <f t="shared" si="4"/>
        <v/>
      </c>
      <c r="F52" s="21" t="s">
        <v>112</v>
      </c>
      <c r="G52" s="89" t="s">
        <v>253</v>
      </c>
      <c r="H52" s="22">
        <f t="shared" si="5"/>
        <v>39.636927453393447</v>
      </c>
      <c r="I52" s="22">
        <f t="shared" si="6"/>
        <v>-9.27857578733901</v>
      </c>
      <c r="J52" s="21" t="s">
        <v>113</v>
      </c>
      <c r="K52" s="23" t="s">
        <v>33</v>
      </c>
      <c r="L52" s="24">
        <v>3.7833333333333332</v>
      </c>
      <c r="M52" s="24">
        <v>24.003333333333334</v>
      </c>
      <c r="N52" s="22">
        <f t="shared" si="7"/>
        <v>223.56462824984737</v>
      </c>
      <c r="Q52" s="49"/>
      <c r="S52" s="55"/>
      <c r="T52" s="55"/>
      <c r="V52" s="56"/>
    </row>
    <row r="53" spans="2:22">
      <c r="E53" s="158" t="str">
        <f t="shared" si="4"/>
        <v/>
      </c>
      <c r="F53" s="21" t="s">
        <v>114</v>
      </c>
      <c r="G53" s="89" t="s">
        <v>253</v>
      </c>
      <c r="H53" s="22">
        <f t="shared" si="5"/>
        <v>333.22176772043935</v>
      </c>
      <c r="I53" s="22">
        <f t="shared" si="6"/>
        <v>-55.926217773870476</v>
      </c>
      <c r="J53" s="21" t="s">
        <v>22</v>
      </c>
      <c r="K53" s="23" t="s">
        <v>23</v>
      </c>
      <c r="L53" s="24">
        <v>7.6966666666666663</v>
      </c>
      <c r="M53" s="24">
        <v>-14.816666666666666</v>
      </c>
      <c r="N53" s="22">
        <f t="shared" si="7"/>
        <v>164.86462824984739</v>
      </c>
      <c r="Q53" s="49"/>
      <c r="S53" s="55"/>
      <c r="T53" s="55"/>
      <c r="V53" s="56"/>
    </row>
    <row r="54" spans="2:22">
      <c r="E54" s="158" t="str">
        <f t="shared" si="4"/>
        <v/>
      </c>
      <c r="F54" s="21" t="s">
        <v>115</v>
      </c>
      <c r="G54" s="89" t="s">
        <v>253</v>
      </c>
      <c r="H54" s="22">
        <f t="shared" si="5"/>
        <v>335.534229534958</v>
      </c>
      <c r="I54" s="22">
        <f t="shared" si="6"/>
        <v>-56.012262397276487</v>
      </c>
      <c r="J54" s="21" t="s">
        <v>22</v>
      </c>
      <c r="K54" s="23" t="s">
        <v>23</v>
      </c>
      <c r="L54" s="24">
        <v>7.61</v>
      </c>
      <c r="M54" s="24">
        <v>-14.5</v>
      </c>
      <c r="N54" s="22">
        <f t="shared" si="7"/>
        <v>166.1646282498474</v>
      </c>
      <c r="Q54" s="49"/>
      <c r="S54" s="55"/>
      <c r="T54" s="55"/>
      <c r="V54" s="56"/>
    </row>
    <row r="55" spans="2:22">
      <c r="B55" s="157" t="s">
        <v>288</v>
      </c>
      <c r="E55" s="158" t="str">
        <f t="shared" si="4"/>
        <v/>
      </c>
      <c r="F55" s="21" t="s">
        <v>116</v>
      </c>
      <c r="G55" s="89" t="s">
        <v>253</v>
      </c>
      <c r="H55" s="22">
        <f t="shared" si="5"/>
        <v>326.62782502796222</v>
      </c>
      <c r="I55" s="22">
        <f t="shared" si="6"/>
        <v>-44.714760296405608</v>
      </c>
      <c r="J55" s="21" t="s">
        <v>22</v>
      </c>
      <c r="K55" s="23" t="s">
        <v>23</v>
      </c>
      <c r="L55" s="24">
        <v>8.23</v>
      </c>
      <c r="M55" s="24">
        <v>-5.8</v>
      </c>
      <c r="N55" s="22">
        <f t="shared" si="7"/>
        <v>156.86462824984736</v>
      </c>
      <c r="Q55" s="49"/>
      <c r="S55" s="55"/>
      <c r="T55" s="55"/>
      <c r="V55" s="56"/>
    </row>
    <row r="56" spans="2:22">
      <c r="B56" s="157" t="s">
        <v>289</v>
      </c>
      <c r="E56" s="158" t="str">
        <f t="shared" si="4"/>
        <v/>
      </c>
      <c r="F56" s="21" t="s">
        <v>117</v>
      </c>
      <c r="G56" s="89" t="s">
        <v>253</v>
      </c>
      <c r="H56" s="22">
        <f t="shared" si="5"/>
        <v>277.58819928051417</v>
      </c>
      <c r="I56" s="22">
        <f t="shared" si="6"/>
        <v>3.8285436304704978</v>
      </c>
      <c r="J56" s="21" t="s">
        <v>22</v>
      </c>
      <c r="K56" s="23" t="s">
        <v>19</v>
      </c>
      <c r="L56" s="24">
        <v>12.496666666666666</v>
      </c>
      <c r="M56" s="24">
        <v>8</v>
      </c>
      <c r="N56" s="22">
        <f t="shared" si="7"/>
        <v>92.864628249847357</v>
      </c>
      <c r="Q56" s="49"/>
      <c r="S56" s="55"/>
      <c r="T56" s="55"/>
      <c r="V56" s="56"/>
    </row>
    <row r="57" spans="2:22">
      <c r="E57" s="158" t="str">
        <f t="shared" si="4"/>
        <v/>
      </c>
      <c r="F57" s="21" t="s">
        <v>118</v>
      </c>
      <c r="G57" s="89" t="s">
        <v>253</v>
      </c>
      <c r="H57" s="22">
        <f t="shared" si="5"/>
        <v>351.24255801339871</v>
      </c>
      <c r="I57" s="22">
        <f t="shared" si="6"/>
        <v>-51.594487261068252</v>
      </c>
      <c r="J57" s="21" t="s">
        <v>119</v>
      </c>
      <c r="K57" s="23" t="s">
        <v>23</v>
      </c>
      <c r="L57" s="24">
        <v>7.0533333333333337</v>
      </c>
      <c r="M57" s="24">
        <v>-8.3333333333333339</v>
      </c>
      <c r="N57" s="22">
        <f t="shared" si="7"/>
        <v>174.51462824984736</v>
      </c>
      <c r="Q57" s="49"/>
      <c r="S57" s="55"/>
      <c r="T57" s="55"/>
      <c r="V57" s="56"/>
    </row>
    <row r="58" spans="2:22">
      <c r="E58" s="158" t="str">
        <f t="shared" si="4"/>
        <v>*</v>
      </c>
      <c r="F58" s="21" t="s">
        <v>120</v>
      </c>
      <c r="G58" s="89" t="s">
        <v>253</v>
      </c>
      <c r="H58" s="22">
        <f t="shared" si="5"/>
        <v>301.17141243629567</v>
      </c>
      <c r="I58" s="22">
        <f t="shared" si="6"/>
        <v>39.079501254478835</v>
      </c>
      <c r="J58" s="21" t="s">
        <v>121</v>
      </c>
      <c r="K58" s="23" t="s">
        <v>19</v>
      </c>
      <c r="L58" s="24">
        <v>13.498333333333333</v>
      </c>
      <c r="M58" s="24">
        <v>47.2</v>
      </c>
      <c r="N58" s="22">
        <f t="shared" si="7"/>
        <v>77.839628249847379</v>
      </c>
      <c r="Q58" s="49"/>
      <c r="S58" s="55"/>
      <c r="T58" s="55"/>
      <c r="V58" s="56"/>
    </row>
    <row r="59" spans="2:22">
      <c r="E59" s="158" t="str">
        <f t="shared" si="4"/>
        <v>*</v>
      </c>
      <c r="F59" s="21" t="s">
        <v>122</v>
      </c>
      <c r="G59" s="89" t="s">
        <v>253</v>
      </c>
      <c r="H59" s="22">
        <f t="shared" si="5"/>
        <v>42.388217815045984</v>
      </c>
      <c r="I59" s="22">
        <f t="shared" si="6"/>
        <v>48.212554875434137</v>
      </c>
      <c r="J59" s="21" t="s">
        <v>123</v>
      </c>
      <c r="K59" s="23" t="s">
        <v>23</v>
      </c>
      <c r="L59" s="24">
        <v>23.403333333333332</v>
      </c>
      <c r="M59" s="24">
        <v>61.583333333333336</v>
      </c>
      <c r="N59" s="22">
        <f t="shared" si="7"/>
        <v>-70.735371750152638</v>
      </c>
      <c r="Q59" s="49"/>
      <c r="S59" s="55"/>
      <c r="T59" s="55"/>
      <c r="V59" s="56"/>
    </row>
    <row r="60" spans="2:22">
      <c r="E60" s="158" t="str">
        <f t="shared" si="4"/>
        <v/>
      </c>
      <c r="F60" s="21" t="s">
        <v>124</v>
      </c>
      <c r="G60" s="89" t="s">
        <v>253</v>
      </c>
      <c r="H60" s="22">
        <f t="shared" si="5"/>
        <v>277.26888517055818</v>
      </c>
      <c r="I60" s="22">
        <f t="shared" si="6"/>
        <v>18.425181324237986</v>
      </c>
      <c r="J60" s="21" t="s">
        <v>22</v>
      </c>
      <c r="K60" s="23" t="s">
        <v>23</v>
      </c>
      <c r="L60" s="24">
        <v>13.215</v>
      </c>
      <c r="M60" s="24">
        <v>18.166666666666668</v>
      </c>
      <c r="N60" s="22">
        <f t="shared" si="7"/>
        <v>82.089628249847351</v>
      </c>
      <c r="Q60" s="49"/>
      <c r="S60" s="55"/>
      <c r="T60" s="55"/>
      <c r="V60" s="56"/>
    </row>
    <row r="61" spans="2:22">
      <c r="E61" s="158" t="str">
        <f t="shared" si="4"/>
        <v/>
      </c>
      <c r="F61" s="21" t="s">
        <v>125</v>
      </c>
      <c r="G61" s="89" t="s">
        <v>253</v>
      </c>
      <c r="H61" s="22">
        <f t="shared" si="5"/>
        <v>176.9398599545259</v>
      </c>
      <c r="I61" s="22">
        <f t="shared" si="6"/>
        <v>13.003001186991314</v>
      </c>
      <c r="J61" s="21" t="s">
        <v>22</v>
      </c>
      <c r="K61" s="23" t="s">
        <v>19</v>
      </c>
      <c r="L61" s="24">
        <v>18.918333333333333</v>
      </c>
      <c r="M61" s="24">
        <v>-30.483333333333334</v>
      </c>
      <c r="N61" s="22">
        <f t="shared" si="7"/>
        <v>-3.4603717501526035</v>
      </c>
      <c r="Q61" s="49"/>
      <c r="S61" s="55"/>
      <c r="T61" s="55"/>
      <c r="V61" s="56"/>
    </row>
    <row r="62" spans="2:22">
      <c r="E62" s="158" t="str">
        <f t="shared" si="4"/>
        <v/>
      </c>
      <c r="F62" s="21" t="s">
        <v>126</v>
      </c>
      <c r="G62" s="89" t="s">
        <v>253</v>
      </c>
      <c r="H62" s="22">
        <f t="shared" si="5"/>
        <v>167.18560816224181</v>
      </c>
      <c r="I62" s="22">
        <f t="shared" si="6"/>
        <v>11.452760071058092</v>
      </c>
      <c r="J62" s="21" t="s">
        <v>127</v>
      </c>
      <c r="K62" s="23" t="s">
        <v>29</v>
      </c>
      <c r="L62" s="24">
        <v>19.666666666666668</v>
      </c>
      <c r="M62" s="24">
        <v>-30.966666666666665</v>
      </c>
      <c r="N62" s="22">
        <f t="shared" si="7"/>
        <v>-14.685371750152683</v>
      </c>
      <c r="Q62" s="49"/>
      <c r="S62" s="55"/>
      <c r="T62" s="55"/>
      <c r="V62" s="56"/>
    </row>
    <row r="63" spans="2:22">
      <c r="E63" s="158" t="str">
        <f t="shared" si="4"/>
        <v>*</v>
      </c>
      <c r="F63" s="21" t="s">
        <v>128</v>
      </c>
      <c r="G63" s="89" t="s">
        <v>253</v>
      </c>
      <c r="H63" s="22">
        <f t="shared" si="5"/>
        <v>154.03743110095695</v>
      </c>
      <c r="I63" s="22">
        <f t="shared" si="6"/>
        <v>72.34522568565869</v>
      </c>
      <c r="J63" s="21" t="s">
        <v>22</v>
      </c>
      <c r="K63" s="23" t="s">
        <v>19</v>
      </c>
      <c r="L63" s="24">
        <v>19.276666666666667</v>
      </c>
      <c r="M63" s="24">
        <v>30.183333333333334</v>
      </c>
      <c r="N63" s="22">
        <f t="shared" si="7"/>
        <v>-8.8353717501526035</v>
      </c>
      <c r="Q63" s="49"/>
      <c r="S63" s="55"/>
      <c r="T63" s="55"/>
      <c r="V63" s="56"/>
    </row>
    <row r="64" spans="2:22">
      <c r="E64" s="158" t="str">
        <f t="shared" si="4"/>
        <v>*</v>
      </c>
      <c r="F64" s="21" t="s">
        <v>129</v>
      </c>
      <c r="G64" s="89" t="s">
        <v>253</v>
      </c>
      <c r="H64" s="22">
        <f t="shared" si="5"/>
        <v>168.95405023669989</v>
      </c>
      <c r="I64" s="22">
        <f t="shared" si="6"/>
        <v>76.378121306076068</v>
      </c>
      <c r="J64" s="21" t="s">
        <v>130</v>
      </c>
      <c r="K64" s="23" t="s">
        <v>23</v>
      </c>
      <c r="L64" s="24">
        <v>18.893333333333334</v>
      </c>
      <c r="M64" s="24">
        <v>33.033333333333331</v>
      </c>
      <c r="N64" s="22">
        <f t="shared" si="7"/>
        <v>-3.0853717501526603</v>
      </c>
      <c r="Q64" s="49"/>
      <c r="S64" s="55"/>
      <c r="T64" s="55"/>
      <c r="V64" s="56"/>
    </row>
    <row r="65" spans="5:22">
      <c r="E65" s="158" t="str">
        <f t="shared" si="4"/>
        <v/>
      </c>
      <c r="F65" s="21" t="s">
        <v>131</v>
      </c>
      <c r="G65" s="89" t="s">
        <v>253</v>
      </c>
      <c r="H65" s="22">
        <f t="shared" si="5"/>
        <v>278.83411506769039</v>
      </c>
      <c r="I65" s="22">
        <f t="shared" si="6"/>
        <v>7.929176927776048</v>
      </c>
      <c r="J65" s="21" t="s">
        <v>22</v>
      </c>
      <c r="K65" s="23" t="s">
        <v>19</v>
      </c>
      <c r="L65" s="24">
        <v>12.628333333333334</v>
      </c>
      <c r="M65" s="24">
        <v>11.816666666666666</v>
      </c>
      <c r="N65" s="22">
        <f t="shared" si="7"/>
        <v>90.889628249847391</v>
      </c>
      <c r="Q65" s="49"/>
      <c r="S65" s="55"/>
      <c r="T65" s="55"/>
      <c r="V65" s="56"/>
    </row>
    <row r="66" spans="5:22">
      <c r="E66" s="158" t="str">
        <f t="shared" si="4"/>
        <v/>
      </c>
      <c r="F66" s="21" t="s">
        <v>132</v>
      </c>
      <c r="G66" s="89" t="s">
        <v>253</v>
      </c>
      <c r="H66" s="22">
        <f t="shared" si="5"/>
        <v>277.9533880909662</v>
      </c>
      <c r="I66" s="22">
        <f t="shared" si="6"/>
        <v>8.5422472707056158</v>
      </c>
      <c r="J66" s="21" t="s">
        <v>22</v>
      </c>
      <c r="K66" s="23" t="s">
        <v>29</v>
      </c>
      <c r="L66" s="24">
        <v>12.7</v>
      </c>
      <c r="M66" s="24">
        <v>11.65</v>
      </c>
      <c r="N66" s="22">
        <f t="shared" si="7"/>
        <v>89.814628249847374</v>
      </c>
      <c r="Q66" s="49"/>
      <c r="S66" s="55"/>
      <c r="T66" s="55"/>
      <c r="V66" s="56"/>
    </row>
    <row r="67" spans="5:22">
      <c r="E67" s="158" t="str">
        <f t="shared" si="4"/>
        <v/>
      </c>
      <c r="F67" s="21" t="s">
        <v>133</v>
      </c>
      <c r="G67" s="89" t="s">
        <v>253</v>
      </c>
      <c r="H67" s="22">
        <f t="shared" si="5"/>
        <v>277.58088808180116</v>
      </c>
      <c r="I67" s="22">
        <f t="shared" si="6"/>
        <v>8.7606629691614035</v>
      </c>
      <c r="J67" s="21" t="s">
        <v>22</v>
      </c>
      <c r="K67" s="23" t="s">
        <v>19</v>
      </c>
      <c r="L67" s="24">
        <v>12.728333333333333</v>
      </c>
      <c r="M67" s="24">
        <v>11.55</v>
      </c>
      <c r="N67" s="22">
        <f t="shared" si="7"/>
        <v>89.389628249847391</v>
      </c>
      <c r="Q67" s="49"/>
      <c r="S67" s="55"/>
      <c r="T67" s="55"/>
      <c r="V67" s="56"/>
    </row>
    <row r="68" spans="5:22">
      <c r="E68" s="158" t="str">
        <f t="shared" si="4"/>
        <v/>
      </c>
      <c r="F68" s="21" t="s">
        <v>134</v>
      </c>
      <c r="G68" s="89" t="s">
        <v>253</v>
      </c>
      <c r="H68" s="22">
        <f t="shared" si="5"/>
        <v>276.58165661143852</v>
      </c>
      <c r="I68" s="22">
        <f t="shared" si="6"/>
        <v>-8.632055562948121E-2</v>
      </c>
      <c r="J68" s="21" t="s">
        <v>135</v>
      </c>
      <c r="K68" s="23" t="s">
        <v>29</v>
      </c>
      <c r="L68" s="24">
        <v>12.365</v>
      </c>
      <c r="M68" s="24">
        <v>4.4666666666666668</v>
      </c>
      <c r="N68" s="22">
        <f t="shared" si="7"/>
        <v>94.839628249847351</v>
      </c>
      <c r="Q68" s="49"/>
      <c r="S68" s="55"/>
      <c r="T68" s="55"/>
      <c r="V68" s="56"/>
    </row>
    <row r="69" spans="5:22">
      <c r="E69" s="158" t="str">
        <f t="shared" si="4"/>
        <v/>
      </c>
      <c r="F69" s="21" t="s">
        <v>136</v>
      </c>
      <c r="G69" s="89" t="s">
        <v>253</v>
      </c>
      <c r="H69" s="22">
        <f t="shared" si="5"/>
        <v>201.81402738317274</v>
      </c>
      <c r="I69" s="22">
        <f t="shared" si="6"/>
        <v>10.160779937258868</v>
      </c>
      <c r="J69" s="21" t="s">
        <v>137</v>
      </c>
      <c r="K69" s="23" t="s">
        <v>19</v>
      </c>
      <c r="L69" s="24">
        <v>17.02</v>
      </c>
      <c r="M69" s="24">
        <v>-30.116666666666667</v>
      </c>
      <c r="N69" s="22">
        <f t="shared" si="7"/>
        <v>25.014628249847391</v>
      </c>
      <c r="Q69" s="49"/>
      <c r="S69" s="55"/>
      <c r="T69" s="55"/>
      <c r="V69" s="56"/>
    </row>
    <row r="70" spans="5:22">
      <c r="E70" s="158" t="str">
        <f t="shared" si="4"/>
        <v>*</v>
      </c>
      <c r="F70" s="21" t="s">
        <v>138</v>
      </c>
      <c r="G70" s="89" t="s">
        <v>253</v>
      </c>
      <c r="H70" s="22">
        <f t="shared" si="5"/>
        <v>297.39071956821238</v>
      </c>
      <c r="I70" s="22">
        <f t="shared" si="6"/>
        <v>34.202416778997303</v>
      </c>
      <c r="J70" s="21" t="s">
        <v>139</v>
      </c>
      <c r="K70" s="23" t="s">
        <v>19</v>
      </c>
      <c r="L70" s="24">
        <v>13.263333333333334</v>
      </c>
      <c r="M70" s="24">
        <v>42.033333333333331</v>
      </c>
      <c r="N70" s="22">
        <f t="shared" si="7"/>
        <v>81.364628249847357</v>
      </c>
      <c r="Q70" s="49"/>
      <c r="S70" s="55"/>
      <c r="T70" s="55"/>
      <c r="V70" s="56"/>
    </row>
    <row r="71" spans="5:22">
      <c r="E71" s="158" t="str">
        <f t="shared" si="4"/>
        <v/>
      </c>
      <c r="F71" s="21" t="s">
        <v>140</v>
      </c>
      <c r="G71" s="89" t="s">
        <v>253</v>
      </c>
      <c r="H71" s="22">
        <f t="shared" si="5"/>
        <v>282.71668250533924</v>
      </c>
      <c r="I71" s="22">
        <f t="shared" si="6"/>
        <v>18.112913929844566</v>
      </c>
      <c r="J71" s="21" t="s">
        <v>141</v>
      </c>
      <c r="K71" s="23" t="s">
        <v>19</v>
      </c>
      <c r="L71" s="24">
        <v>12.945</v>
      </c>
      <c r="M71" s="24">
        <v>21.683333333333334</v>
      </c>
      <c r="N71" s="22">
        <f t="shared" si="7"/>
        <v>86.139628249847362</v>
      </c>
      <c r="Q71" s="49"/>
      <c r="S71" s="55"/>
      <c r="T71" s="55"/>
      <c r="V71" s="56"/>
    </row>
    <row r="72" spans="5:22">
      <c r="E72" s="158" t="str">
        <f t="shared" si="4"/>
        <v/>
      </c>
      <c r="F72" s="21" t="s">
        <v>142</v>
      </c>
      <c r="G72" s="89" t="s">
        <v>253</v>
      </c>
      <c r="H72" s="22">
        <f t="shared" ref="H72:H103" si="8">IF(SIN($N$120*N72)&lt;0,ACOS((SIN($N$120*M72)-SIN($N$120*I72)*SIN($N$120*$C$13))/(COS($N$120*I72)*COS($N$120*$C$13)))/$N$120,360-ACOS((SIN($N$120*M72)-SIN($N$120*I72)*SIN($N$120*$C$13))/(COS($N$120*I72)*COS($N$120*$C$13)))/$N$120)</f>
        <v>293.90875061271396</v>
      </c>
      <c r="I72" s="22">
        <f t="shared" ref="I72:I103" si="9">ASIN(SIN($N$120*M72)*SIN($N$120*$C$13)+COS($N$120*M72)*COS($N$120*$C$13)*COS($N$120*N72))/$N$120</f>
        <v>-4.1255712725502054</v>
      </c>
      <c r="J72" s="21" t="s">
        <v>143</v>
      </c>
      <c r="K72" s="23" t="s">
        <v>19</v>
      </c>
      <c r="L72" s="24">
        <v>11.315</v>
      </c>
      <c r="M72" s="24">
        <v>13.083333333333334</v>
      </c>
      <c r="N72" s="22">
        <f t="shared" ref="N72:N103" si="10">$C$16-((L72/24)*360)</f>
        <v>110.58962824984738</v>
      </c>
      <c r="Q72" s="49"/>
      <c r="S72" s="55"/>
      <c r="T72" s="55"/>
      <c r="V72" s="56"/>
    </row>
    <row r="73" spans="5:22">
      <c r="E73" s="158" t="str">
        <f t="shared" si="4"/>
        <v/>
      </c>
      <c r="F73" s="21" t="s">
        <v>144</v>
      </c>
      <c r="G73" s="89" t="s">
        <v>253</v>
      </c>
      <c r="H73" s="22">
        <f t="shared" si="8"/>
        <v>293.60190298343059</v>
      </c>
      <c r="I73" s="22">
        <f t="shared" si="9"/>
        <v>-3.9968472133895361</v>
      </c>
      <c r="J73" s="21" t="s">
        <v>143</v>
      </c>
      <c r="K73" s="23" t="s">
        <v>23</v>
      </c>
      <c r="L73" s="24">
        <v>11.336666666666666</v>
      </c>
      <c r="M73" s="24">
        <v>12.983333333333333</v>
      </c>
      <c r="N73" s="22">
        <f t="shared" si="10"/>
        <v>110.26462824984739</v>
      </c>
      <c r="Q73" s="49"/>
      <c r="S73" s="55"/>
      <c r="T73" s="55"/>
      <c r="V73" s="56"/>
    </row>
    <row r="74" spans="5:22">
      <c r="E74" s="158" t="str">
        <f t="shared" si="4"/>
        <v/>
      </c>
      <c r="F74" s="21" t="s">
        <v>145</v>
      </c>
      <c r="G74" s="89" t="s">
        <v>253</v>
      </c>
      <c r="H74" s="22">
        <f t="shared" si="8"/>
        <v>324.7886439052786</v>
      </c>
      <c r="I74" s="22">
        <f t="shared" si="9"/>
        <v>-24.942293553077526</v>
      </c>
      <c r="J74" s="21" t="s">
        <v>146</v>
      </c>
      <c r="K74" s="23" t="s">
        <v>23</v>
      </c>
      <c r="L74" s="24">
        <v>8.84</v>
      </c>
      <c r="M74" s="24">
        <v>11.816666666666666</v>
      </c>
      <c r="N74" s="22">
        <f t="shared" si="10"/>
        <v>147.71462824984738</v>
      </c>
      <c r="Q74" s="49"/>
      <c r="S74" s="55"/>
      <c r="T74" s="55"/>
      <c r="V74" s="56"/>
    </row>
    <row r="75" spans="5:22">
      <c r="E75" s="158" t="str">
        <f t="shared" si="4"/>
        <v/>
      </c>
      <c r="F75" s="21" t="s">
        <v>147</v>
      </c>
      <c r="G75" s="89" t="s">
        <v>253</v>
      </c>
      <c r="H75" s="22">
        <f t="shared" si="8"/>
        <v>251.13330901789067</v>
      </c>
      <c r="I75" s="22">
        <f t="shared" si="9"/>
        <v>-19.325847208700846</v>
      </c>
      <c r="J75" s="21" t="s">
        <v>22</v>
      </c>
      <c r="K75" s="23" t="s">
        <v>67</v>
      </c>
      <c r="L75" s="24">
        <v>12.658333333333333</v>
      </c>
      <c r="M75" s="24">
        <v>-26.75</v>
      </c>
      <c r="N75" s="22">
        <f t="shared" si="10"/>
        <v>90.439628249847402</v>
      </c>
      <c r="Q75" s="49"/>
      <c r="S75" s="55"/>
      <c r="T75" s="55"/>
      <c r="V75" s="56"/>
    </row>
    <row r="76" spans="5:22">
      <c r="E76" s="158" t="str">
        <f t="shared" si="4"/>
        <v/>
      </c>
      <c r="F76" s="21" t="s">
        <v>148</v>
      </c>
      <c r="G76" s="89" t="s">
        <v>253</v>
      </c>
      <c r="H76" s="22">
        <f t="shared" si="8"/>
        <v>182.12212976041008</v>
      </c>
      <c r="I76" s="22">
        <f t="shared" si="9"/>
        <v>11.168553436889409</v>
      </c>
      <c r="J76" s="21" t="s">
        <v>22</v>
      </c>
      <c r="K76" s="23" t="s">
        <v>19</v>
      </c>
      <c r="L76" s="24">
        <v>18.523333333333333</v>
      </c>
      <c r="M76" s="24">
        <v>-32.35</v>
      </c>
      <c r="N76" s="22">
        <f t="shared" si="10"/>
        <v>2.4646282498474079</v>
      </c>
      <c r="Q76" s="49"/>
      <c r="S76" s="55"/>
      <c r="T76" s="55"/>
      <c r="V76" s="56"/>
    </row>
    <row r="77" spans="5:22">
      <c r="E77" s="158" t="str">
        <f t="shared" si="4"/>
        <v/>
      </c>
      <c r="F77" s="21" t="s">
        <v>149</v>
      </c>
      <c r="G77" s="89" t="s">
        <v>253</v>
      </c>
      <c r="H77" s="22">
        <f t="shared" si="8"/>
        <v>179.58169925419068</v>
      </c>
      <c r="I77" s="22">
        <f t="shared" si="9"/>
        <v>11.248779264999969</v>
      </c>
      <c r="J77" s="21" t="s">
        <v>22</v>
      </c>
      <c r="K77" s="23" t="s">
        <v>19</v>
      </c>
      <c r="L77" s="24">
        <v>18.72</v>
      </c>
      <c r="M77" s="24">
        <v>-32.299999999999997</v>
      </c>
      <c r="N77" s="22">
        <f t="shared" si="10"/>
        <v>-0.48537175015258072</v>
      </c>
      <c r="Q77" s="49"/>
      <c r="S77" s="55"/>
      <c r="T77" s="55"/>
      <c r="V77" s="56"/>
    </row>
    <row r="78" spans="5:22">
      <c r="E78" s="158" t="str">
        <f t="shared" si="4"/>
        <v>*</v>
      </c>
      <c r="F78" s="21" t="s">
        <v>150</v>
      </c>
      <c r="G78" s="89" t="s">
        <v>253</v>
      </c>
      <c r="H78" s="22">
        <f t="shared" si="8"/>
        <v>145.59143027200705</v>
      </c>
      <c r="I78" s="22">
        <f t="shared" si="9"/>
        <v>58.568079097396335</v>
      </c>
      <c r="J78" s="21" t="s">
        <v>151</v>
      </c>
      <c r="K78" s="23" t="s">
        <v>19</v>
      </c>
      <c r="L78" s="24">
        <v>19.896666666666668</v>
      </c>
      <c r="M78" s="24">
        <v>18.783333333333335</v>
      </c>
      <c r="N78" s="22">
        <f t="shared" si="10"/>
        <v>-18.135371750152615</v>
      </c>
      <c r="Q78" s="49"/>
      <c r="S78" s="55"/>
      <c r="T78" s="55"/>
      <c r="V78" s="56"/>
    </row>
    <row r="79" spans="5:22">
      <c r="E79" s="158" t="str">
        <f t="shared" si="4"/>
        <v/>
      </c>
      <c r="F79" s="21" t="s">
        <v>152</v>
      </c>
      <c r="G79" s="89" t="s">
        <v>253</v>
      </c>
      <c r="H79" s="22">
        <f t="shared" si="8"/>
        <v>144.35073937308164</v>
      </c>
      <c r="I79" s="22">
        <f t="shared" si="9"/>
        <v>23.978636099610508</v>
      </c>
      <c r="J79" s="21" t="s">
        <v>22</v>
      </c>
      <c r="K79" s="23" t="s">
        <v>19</v>
      </c>
      <c r="L79" s="24">
        <v>20.891666666666666</v>
      </c>
      <c r="M79" s="24">
        <v>-12.533333333333333</v>
      </c>
      <c r="N79" s="22">
        <f t="shared" si="10"/>
        <v>-33.060371750152626</v>
      </c>
      <c r="Q79" s="49"/>
      <c r="S79" s="55"/>
      <c r="T79" s="55"/>
      <c r="V79" s="56"/>
    </row>
    <row r="80" spans="5:22">
      <c r="E80" s="158" t="str">
        <f t="shared" si="4"/>
        <v/>
      </c>
      <c r="F80" s="21" t="s">
        <v>153</v>
      </c>
      <c r="G80" s="89" t="s">
        <v>253</v>
      </c>
      <c r="H80" s="22">
        <f t="shared" si="8"/>
        <v>143.06532732907161</v>
      </c>
      <c r="I80" s="22">
        <f t="shared" si="9"/>
        <v>23.327037338114664</v>
      </c>
      <c r="J80" s="21" t="s">
        <v>154</v>
      </c>
      <c r="K80" s="23" t="s">
        <v>29</v>
      </c>
      <c r="L80" s="24">
        <v>20.983333333333334</v>
      </c>
      <c r="M80" s="24">
        <v>-12.633333333333333</v>
      </c>
      <c r="N80" s="22">
        <f t="shared" si="10"/>
        <v>-34.435371750152626</v>
      </c>
      <c r="Q80" s="49"/>
      <c r="S80" s="55"/>
      <c r="T80" s="55"/>
      <c r="V80" s="56"/>
    </row>
    <row r="81" spans="5:22">
      <c r="E81" s="158" t="str">
        <f t="shared" si="4"/>
        <v/>
      </c>
      <c r="F81" s="21" t="s">
        <v>155</v>
      </c>
      <c r="G81" s="89" t="s">
        <v>253</v>
      </c>
      <c r="H81" s="22">
        <f t="shared" si="8"/>
        <v>69.222286142904892</v>
      </c>
      <c r="I81" s="22">
        <f t="shared" si="9"/>
        <v>2.1955420041076983</v>
      </c>
      <c r="J81" s="21" t="s">
        <v>156</v>
      </c>
      <c r="K81" s="23" t="s">
        <v>67</v>
      </c>
      <c r="L81" s="24">
        <v>1.6116666666666668</v>
      </c>
      <c r="M81" s="24">
        <v>15.783333333333333</v>
      </c>
      <c r="N81" s="22">
        <f t="shared" si="10"/>
        <v>256.13962824984736</v>
      </c>
      <c r="Q81" s="49"/>
      <c r="S81" s="55"/>
      <c r="T81" s="55"/>
      <c r="V81" s="56"/>
    </row>
    <row r="82" spans="5:22">
      <c r="E82" s="158" t="str">
        <f t="shared" si="4"/>
        <v/>
      </c>
      <c r="F82" s="21" t="s">
        <v>157</v>
      </c>
      <c r="G82" s="89" t="s">
        <v>253</v>
      </c>
      <c r="H82" s="22">
        <f t="shared" si="8"/>
        <v>159.20902901195419</v>
      </c>
      <c r="I82" s="22">
        <f t="shared" si="9"/>
        <v>18.987716048013425</v>
      </c>
      <c r="J82" s="21" t="s">
        <v>22</v>
      </c>
      <c r="K82" s="23" t="s">
        <v>19</v>
      </c>
      <c r="L82" s="24">
        <v>20.101666666666667</v>
      </c>
      <c r="M82" s="24">
        <v>-21.916666666666668</v>
      </c>
      <c r="N82" s="22">
        <f t="shared" si="10"/>
        <v>-21.21037175015266</v>
      </c>
      <c r="Q82" s="49"/>
      <c r="S82" s="55"/>
      <c r="T82" s="55"/>
      <c r="V82" s="56"/>
    </row>
    <row r="83" spans="5:22">
      <c r="E83" s="158" t="str">
        <f t="shared" si="4"/>
        <v>*</v>
      </c>
      <c r="F83" s="21" t="s">
        <v>158</v>
      </c>
      <c r="G83" s="89" t="s">
        <v>253</v>
      </c>
      <c r="H83" s="22">
        <f t="shared" si="8"/>
        <v>42.33291909287086</v>
      </c>
      <c r="I83" s="22">
        <f t="shared" si="9"/>
        <v>27.065779821173379</v>
      </c>
      <c r="J83" s="21" t="s">
        <v>159</v>
      </c>
      <c r="K83" s="23" t="s">
        <v>19</v>
      </c>
      <c r="L83" s="24">
        <v>1.7050000000000001</v>
      </c>
      <c r="M83" s="24">
        <v>51.56666666666667</v>
      </c>
      <c r="N83" s="22">
        <f t="shared" si="10"/>
        <v>254.73962824984739</v>
      </c>
      <c r="Q83" s="49"/>
      <c r="S83" s="55"/>
      <c r="T83" s="55"/>
      <c r="V83" s="56"/>
    </row>
    <row r="84" spans="5:22">
      <c r="E84" s="158" t="str">
        <f t="shared" si="4"/>
        <v/>
      </c>
      <c r="F84" s="21" t="s">
        <v>160</v>
      </c>
      <c r="G84" s="89" t="s">
        <v>253</v>
      </c>
      <c r="H84" s="22">
        <f t="shared" si="8"/>
        <v>66.985149791959969</v>
      </c>
      <c r="I84" s="22">
        <f t="shared" si="9"/>
        <v>-20.366801451666007</v>
      </c>
      <c r="J84" s="21" t="s">
        <v>161</v>
      </c>
      <c r="K84" s="23" t="s">
        <v>19</v>
      </c>
      <c r="L84" s="24">
        <v>2.7116666666666669</v>
      </c>
      <c r="M84" s="24">
        <v>1.6666666666666666E-2</v>
      </c>
      <c r="N84" s="22">
        <f t="shared" si="10"/>
        <v>239.63962824984736</v>
      </c>
      <c r="Q84" s="49"/>
      <c r="S84" s="55"/>
      <c r="T84" s="55"/>
      <c r="V84" s="56"/>
    </row>
    <row r="85" spans="5:22">
      <c r="E85" s="158" t="str">
        <f t="shared" si="4"/>
        <v/>
      </c>
      <c r="F85" s="21" t="s">
        <v>162</v>
      </c>
      <c r="G85" s="89" t="s">
        <v>253</v>
      </c>
      <c r="H85" s="22">
        <f t="shared" si="8"/>
        <v>18.496086494985921</v>
      </c>
      <c r="I85" s="22">
        <f t="shared" si="9"/>
        <v>-41.984061633463455</v>
      </c>
      <c r="J85" s="21" t="s">
        <v>163</v>
      </c>
      <c r="K85" s="23" t="s">
        <v>19</v>
      </c>
      <c r="L85" s="24">
        <v>5.7783333333333333</v>
      </c>
      <c r="M85" s="24">
        <v>0.05</v>
      </c>
      <c r="N85" s="22">
        <f t="shared" si="10"/>
        <v>193.63962824984736</v>
      </c>
      <c r="Q85" s="49"/>
      <c r="S85" s="55"/>
      <c r="T85" s="55"/>
      <c r="V85" s="56"/>
    </row>
    <row r="86" spans="5:22">
      <c r="E86" s="158" t="str">
        <f t="shared" si="4"/>
        <v/>
      </c>
      <c r="F86" s="21" t="s">
        <v>164</v>
      </c>
      <c r="G86" s="89" t="s">
        <v>253</v>
      </c>
      <c r="H86" s="22">
        <f t="shared" si="8"/>
        <v>41.633283744757172</v>
      </c>
      <c r="I86" s="22">
        <f t="shared" si="9"/>
        <v>-63.254475841736692</v>
      </c>
      <c r="J86" s="21" t="s">
        <v>22</v>
      </c>
      <c r="K86" s="23" t="s">
        <v>19</v>
      </c>
      <c r="L86" s="24">
        <v>5.4083333333333332</v>
      </c>
      <c r="M86" s="24">
        <v>-24.55</v>
      </c>
      <c r="N86" s="22">
        <f t="shared" si="10"/>
        <v>199.18962824984737</v>
      </c>
      <c r="Q86" s="49"/>
      <c r="S86" s="55"/>
      <c r="T86" s="55"/>
      <c r="V86" s="56"/>
    </row>
    <row r="87" spans="5:22">
      <c r="E87" s="158" t="str">
        <f t="shared" si="4"/>
        <v/>
      </c>
      <c r="F87" s="21" t="s">
        <v>165</v>
      </c>
      <c r="G87" s="89" t="s">
        <v>253</v>
      </c>
      <c r="H87" s="22">
        <f t="shared" si="8"/>
        <v>213.83893425420359</v>
      </c>
      <c r="I87" s="22">
        <f t="shared" si="9"/>
        <v>13.281569580227467</v>
      </c>
      <c r="J87" s="21" t="s">
        <v>22</v>
      </c>
      <c r="K87" s="23" t="s">
        <v>23</v>
      </c>
      <c r="L87" s="24">
        <v>16.283333333333335</v>
      </c>
      <c r="M87" s="24">
        <v>-22.983333333333334</v>
      </c>
      <c r="N87" s="22">
        <f t="shared" si="10"/>
        <v>36.064628249847374</v>
      </c>
      <c r="Q87" s="49"/>
      <c r="S87" s="55"/>
      <c r="T87" s="55"/>
      <c r="V87" s="56"/>
    </row>
    <row r="88" spans="5:22">
      <c r="E88" s="158" t="str">
        <f t="shared" si="4"/>
        <v>*</v>
      </c>
      <c r="F88" s="21" t="s">
        <v>166</v>
      </c>
      <c r="G88" s="89" t="s">
        <v>253</v>
      </c>
      <c r="H88" s="22">
        <f t="shared" si="8"/>
        <v>341.79711070842404</v>
      </c>
      <c r="I88" s="22">
        <f t="shared" si="9"/>
        <v>30.937234515062002</v>
      </c>
      <c r="J88" s="21" t="s">
        <v>167</v>
      </c>
      <c r="K88" s="23" t="s">
        <v>23</v>
      </c>
      <c r="L88" s="24">
        <v>9.9266666666666659</v>
      </c>
      <c r="M88" s="24">
        <v>69.066666666666663</v>
      </c>
      <c r="N88" s="22">
        <f t="shared" si="10"/>
        <v>131.41462824984737</v>
      </c>
      <c r="Q88" s="49"/>
      <c r="S88" s="55"/>
      <c r="T88" s="55"/>
      <c r="V88" s="56"/>
    </row>
    <row r="89" spans="5:22">
      <c r="E89" s="158" t="str">
        <f t="shared" si="4"/>
        <v>*</v>
      </c>
      <c r="F89" s="21" t="s">
        <v>168</v>
      </c>
      <c r="G89" s="89" t="s">
        <v>253</v>
      </c>
      <c r="H89" s="22">
        <f t="shared" si="8"/>
        <v>342.21627208581657</v>
      </c>
      <c r="I89" s="22">
        <f t="shared" si="9"/>
        <v>31.439240501301821</v>
      </c>
      <c r="J89" s="21" t="s">
        <v>169</v>
      </c>
      <c r="K89" s="23" t="s">
        <v>23</v>
      </c>
      <c r="L89" s="24">
        <v>9.93</v>
      </c>
      <c r="M89" s="24">
        <v>69.683333333333337</v>
      </c>
      <c r="N89" s="22">
        <f t="shared" si="10"/>
        <v>131.36462824984739</v>
      </c>
      <c r="Q89" s="49"/>
      <c r="S89" s="55"/>
      <c r="T89" s="55"/>
      <c r="V89" s="56"/>
    </row>
    <row r="90" spans="5:22">
      <c r="E90" s="158" t="str">
        <f t="shared" si="4"/>
        <v/>
      </c>
      <c r="F90" s="21" t="s">
        <v>170</v>
      </c>
      <c r="G90" s="89" t="s">
        <v>253</v>
      </c>
      <c r="H90" s="22">
        <f t="shared" si="8"/>
        <v>239.56626501211429</v>
      </c>
      <c r="I90" s="22">
        <f t="shared" si="9"/>
        <v>-12.534969459965556</v>
      </c>
      <c r="J90" s="21" t="s">
        <v>171</v>
      </c>
      <c r="K90" s="23" t="s">
        <v>29</v>
      </c>
      <c r="L90" s="24">
        <v>13.616666666666667</v>
      </c>
      <c r="M90" s="24">
        <v>-29.866666666666667</v>
      </c>
      <c r="N90" s="22">
        <f t="shared" si="10"/>
        <v>76.064628249847374</v>
      </c>
      <c r="Q90" s="49"/>
      <c r="S90" s="55"/>
      <c r="T90" s="55"/>
      <c r="V90" s="56"/>
    </row>
    <row r="91" spans="5:22">
      <c r="E91" s="158" t="str">
        <f t="shared" si="4"/>
        <v/>
      </c>
      <c r="F91" s="21" t="s">
        <v>172</v>
      </c>
      <c r="G91" s="89" t="s">
        <v>253</v>
      </c>
      <c r="H91" s="22">
        <f t="shared" si="8"/>
        <v>281.81398260335061</v>
      </c>
      <c r="I91" s="22">
        <f t="shared" si="9"/>
        <v>6.5624097898690037</v>
      </c>
      <c r="J91" s="21" t="s">
        <v>22</v>
      </c>
      <c r="K91" s="23" t="s">
        <v>19</v>
      </c>
      <c r="L91" s="24">
        <v>12.418333333333333</v>
      </c>
      <c r="M91" s="24">
        <v>12.883333333333333</v>
      </c>
      <c r="N91" s="22">
        <f t="shared" si="10"/>
        <v>94.039628249847397</v>
      </c>
      <c r="Q91" s="49"/>
      <c r="S91" s="55"/>
      <c r="T91" s="55"/>
      <c r="V91" s="56"/>
    </row>
    <row r="92" spans="5:22">
      <c r="E92" s="158" t="str">
        <f t="shared" si="4"/>
        <v/>
      </c>
      <c r="F92" s="21" t="s">
        <v>173</v>
      </c>
      <c r="G92" s="89" t="s">
        <v>253</v>
      </c>
      <c r="H92" s="22">
        <f t="shared" si="8"/>
        <v>285.48697737729407</v>
      </c>
      <c r="I92" s="22">
        <f t="shared" si="9"/>
        <v>10.4229788911501</v>
      </c>
      <c r="J92" s="21" t="s">
        <v>22</v>
      </c>
      <c r="K92" s="23" t="s">
        <v>19</v>
      </c>
      <c r="L92" s="24">
        <v>12.423333333333334</v>
      </c>
      <c r="M92" s="24">
        <v>18.183333333333334</v>
      </c>
      <c r="N92" s="22">
        <f t="shared" si="10"/>
        <v>93.964628249847379</v>
      </c>
      <c r="Q92" s="49"/>
      <c r="S92" s="55"/>
      <c r="T92" s="55"/>
      <c r="V92" s="56"/>
    </row>
    <row r="93" spans="5:22">
      <c r="E93" s="158" t="str">
        <f t="shared" ref="E93:E117" si="11">IF(AND(I93&gt;=$I$4,I93&lt;=$I$6,H93&gt;=$H$4,H93&lt;=$H$6),IF(VLOOKUP(G93,$C$19:$D$24,2,FALSE)="yes","*","-"),"")</f>
        <v/>
      </c>
      <c r="F93" s="21" t="s">
        <v>174</v>
      </c>
      <c r="G93" s="89" t="s">
        <v>253</v>
      </c>
      <c r="H93" s="22">
        <f t="shared" si="8"/>
        <v>281.66563879042121</v>
      </c>
      <c r="I93" s="22">
        <f t="shared" si="9"/>
        <v>6.7960387591066169</v>
      </c>
      <c r="J93" s="21" t="s">
        <v>22</v>
      </c>
      <c r="K93" s="23" t="s">
        <v>19</v>
      </c>
      <c r="L93" s="24">
        <v>12.436666666666667</v>
      </c>
      <c r="M93" s="24">
        <v>12.95</v>
      </c>
      <c r="N93" s="22">
        <f t="shared" si="10"/>
        <v>93.764628249847362</v>
      </c>
      <c r="Q93" s="49"/>
      <c r="S93" s="55"/>
      <c r="T93" s="55"/>
      <c r="V93" s="56"/>
    </row>
    <row r="94" spans="5:22">
      <c r="E94" s="158" t="str">
        <f t="shared" si="11"/>
        <v/>
      </c>
      <c r="F94" s="21" t="s">
        <v>175</v>
      </c>
      <c r="G94" s="89" t="s">
        <v>253</v>
      </c>
      <c r="H94" s="22">
        <f t="shared" si="8"/>
        <v>280.46674409572182</v>
      </c>
      <c r="I94" s="22">
        <f t="shared" si="9"/>
        <v>7.1771407163463916</v>
      </c>
      <c r="J94" s="21" t="s">
        <v>176</v>
      </c>
      <c r="K94" s="23" t="s">
        <v>19</v>
      </c>
      <c r="L94" s="24">
        <v>12.513333333333334</v>
      </c>
      <c r="M94" s="24">
        <v>12.4</v>
      </c>
      <c r="N94" s="22">
        <f t="shared" si="10"/>
        <v>92.614628249847357</v>
      </c>
      <c r="Q94" s="49"/>
      <c r="S94" s="55"/>
      <c r="T94" s="55"/>
      <c r="V94" s="56"/>
    </row>
    <row r="95" spans="5:22">
      <c r="E95" s="158" t="str">
        <f t="shared" si="11"/>
        <v/>
      </c>
      <c r="F95" s="21" t="s">
        <v>177</v>
      </c>
      <c r="G95" s="89" t="s">
        <v>253</v>
      </c>
      <c r="H95" s="22">
        <f t="shared" si="8"/>
        <v>281.67062355500923</v>
      </c>
      <c r="I95" s="22">
        <f t="shared" si="9"/>
        <v>8.8297054860473612</v>
      </c>
      <c r="J95" s="21" t="s">
        <v>22</v>
      </c>
      <c r="K95" s="23" t="s">
        <v>19</v>
      </c>
      <c r="L95" s="24">
        <v>12.533333333333333</v>
      </c>
      <c r="M95" s="24">
        <v>14.416666666666666</v>
      </c>
      <c r="N95" s="22">
        <f t="shared" si="10"/>
        <v>92.314628249847374</v>
      </c>
      <c r="Q95" s="49"/>
      <c r="S95" s="55"/>
      <c r="T95" s="55"/>
      <c r="V95" s="56"/>
    </row>
    <row r="96" spans="5:22">
      <c r="E96" s="158" t="str">
        <f t="shared" si="11"/>
        <v/>
      </c>
      <c r="F96" s="21" t="s">
        <v>178</v>
      </c>
      <c r="G96" s="89" t="s">
        <v>253</v>
      </c>
      <c r="H96" s="22">
        <f t="shared" si="8"/>
        <v>279.70387086906504</v>
      </c>
      <c r="I96" s="22">
        <f t="shared" si="9"/>
        <v>8.1159920200219009</v>
      </c>
      <c r="J96" s="21" t="s">
        <v>22</v>
      </c>
      <c r="K96" s="23" t="s">
        <v>19</v>
      </c>
      <c r="L96" s="24">
        <v>12.595000000000001</v>
      </c>
      <c r="M96" s="24">
        <v>12.55</v>
      </c>
      <c r="N96" s="22">
        <f t="shared" si="10"/>
        <v>91.389628249847391</v>
      </c>
      <c r="Q96" s="49"/>
      <c r="S96" s="55"/>
      <c r="T96" s="55"/>
      <c r="V96" s="56"/>
    </row>
    <row r="97" spans="5:22">
      <c r="E97" s="158" t="str">
        <f t="shared" si="11"/>
        <v/>
      </c>
      <c r="F97" s="21" t="s">
        <v>179</v>
      </c>
      <c r="G97" s="89" t="s">
        <v>253</v>
      </c>
      <c r="H97" s="22">
        <f t="shared" si="8"/>
        <v>279.94345979347111</v>
      </c>
      <c r="I97" s="22">
        <f t="shared" si="9"/>
        <v>8.7452680322836489</v>
      </c>
      <c r="J97" s="21" t="s">
        <v>22</v>
      </c>
      <c r="K97" s="23" t="s">
        <v>29</v>
      </c>
      <c r="L97" s="24">
        <v>12.613333333333333</v>
      </c>
      <c r="M97" s="24">
        <v>13.166666666666666</v>
      </c>
      <c r="N97" s="22">
        <f t="shared" si="10"/>
        <v>91.114628249847385</v>
      </c>
      <c r="Q97" s="49"/>
      <c r="S97" s="55"/>
      <c r="T97" s="55"/>
      <c r="V97" s="56"/>
    </row>
    <row r="98" spans="5:22">
      <c r="E98" s="158" t="str">
        <f t="shared" si="11"/>
        <v/>
      </c>
      <c r="F98" s="21" t="s">
        <v>180</v>
      </c>
      <c r="G98" s="89" t="s">
        <v>253</v>
      </c>
      <c r="H98" s="22">
        <f t="shared" si="8"/>
        <v>281.13207287914935</v>
      </c>
      <c r="I98" s="22">
        <f t="shared" si="9"/>
        <v>9.4635031340058759</v>
      </c>
      <c r="J98" s="21" t="s">
        <v>22</v>
      </c>
      <c r="K98" s="23" t="s">
        <v>67</v>
      </c>
      <c r="L98" s="24">
        <v>12.59</v>
      </c>
      <c r="M98" s="24">
        <v>14.5</v>
      </c>
      <c r="N98" s="22">
        <f t="shared" si="10"/>
        <v>91.464628249847379</v>
      </c>
      <c r="Q98" s="49"/>
      <c r="S98" s="55"/>
      <c r="T98" s="55"/>
      <c r="V98" s="56"/>
    </row>
    <row r="99" spans="5:22">
      <c r="E99" s="158" t="str">
        <f t="shared" si="11"/>
        <v>*</v>
      </c>
      <c r="F99" s="21" t="s">
        <v>181</v>
      </c>
      <c r="G99" s="89" t="s">
        <v>253</v>
      </c>
      <c r="H99" s="22">
        <f t="shared" si="8"/>
        <v>265.07133551611173</v>
      </c>
      <c r="I99" s="22">
        <f t="shared" si="9"/>
        <v>74.753769089635426</v>
      </c>
      <c r="J99" s="21" t="s">
        <v>22</v>
      </c>
      <c r="K99" s="23" t="s">
        <v>23</v>
      </c>
      <c r="L99" s="24">
        <v>17.285</v>
      </c>
      <c r="M99" s="24">
        <v>43.133333333333333</v>
      </c>
      <c r="N99" s="22">
        <f t="shared" si="10"/>
        <v>21.039628249847397</v>
      </c>
      <c r="Q99" s="49"/>
      <c r="S99" s="55"/>
      <c r="T99" s="55"/>
      <c r="V99" s="56"/>
    </row>
    <row r="100" spans="5:22">
      <c r="E100" s="158" t="str">
        <f t="shared" si="11"/>
        <v/>
      </c>
      <c r="F100" s="21" t="s">
        <v>182</v>
      </c>
      <c r="G100" s="89" t="s">
        <v>253</v>
      </c>
      <c r="H100" s="22">
        <f t="shared" si="8"/>
        <v>325.18739526562217</v>
      </c>
      <c r="I100" s="22">
        <f t="shared" si="9"/>
        <v>-64.080696703629101</v>
      </c>
      <c r="J100" s="21" t="s">
        <v>183</v>
      </c>
      <c r="K100" s="23" t="s">
        <v>23</v>
      </c>
      <c r="L100" s="24">
        <v>7.7433333333333332</v>
      </c>
      <c r="M100" s="24">
        <v>-23.866666666666667</v>
      </c>
      <c r="N100" s="22">
        <f t="shared" si="10"/>
        <v>164.1646282498474</v>
      </c>
      <c r="Q100" s="49"/>
      <c r="S100" s="55"/>
      <c r="T100" s="55"/>
      <c r="V100" s="56"/>
    </row>
    <row r="101" spans="5:22">
      <c r="E101" s="158" t="str">
        <f t="shared" si="11"/>
        <v>*</v>
      </c>
      <c r="F101" s="21" t="s">
        <v>184</v>
      </c>
      <c r="G101" s="89" t="s">
        <v>253</v>
      </c>
      <c r="H101" s="22">
        <f t="shared" si="8"/>
        <v>299.74447244141356</v>
      </c>
      <c r="I101" s="22">
        <f t="shared" si="9"/>
        <v>29.896643598560793</v>
      </c>
      <c r="J101" s="21" t="s">
        <v>185</v>
      </c>
      <c r="K101" s="23" t="s">
        <v>19</v>
      </c>
      <c r="L101" s="24">
        <v>12.848333333333333</v>
      </c>
      <c r="M101" s="24">
        <v>41.116666666666667</v>
      </c>
      <c r="N101" s="22">
        <f t="shared" si="10"/>
        <v>87.589628249847379</v>
      </c>
      <c r="Q101" s="49"/>
      <c r="S101" s="55"/>
      <c r="T101" s="55"/>
      <c r="V101" s="56"/>
    </row>
    <row r="102" spans="5:22">
      <c r="E102" s="158" t="str">
        <f t="shared" si="11"/>
        <v/>
      </c>
      <c r="F102" s="21" t="s">
        <v>186</v>
      </c>
      <c r="G102" s="89" t="s">
        <v>253</v>
      </c>
      <c r="H102" s="22">
        <f t="shared" si="8"/>
        <v>299.70926590114505</v>
      </c>
      <c r="I102" s="22">
        <f t="shared" si="9"/>
        <v>-10.564835666050406</v>
      </c>
      <c r="J102" s="21" t="s">
        <v>22</v>
      </c>
      <c r="K102" s="23" t="s">
        <v>29</v>
      </c>
      <c r="L102" s="24">
        <v>10.733333333333333</v>
      </c>
      <c r="M102" s="24">
        <v>11.7</v>
      </c>
      <c r="N102" s="22">
        <f t="shared" si="10"/>
        <v>119.31462824984737</v>
      </c>
      <c r="Q102" s="49"/>
      <c r="S102" s="55"/>
      <c r="T102" s="55"/>
      <c r="V102" s="56"/>
    </row>
    <row r="103" spans="5:22">
      <c r="E103" s="158" t="str">
        <f t="shared" si="11"/>
        <v/>
      </c>
      <c r="F103" s="21" t="s">
        <v>187</v>
      </c>
      <c r="G103" s="89" t="s">
        <v>253</v>
      </c>
      <c r="H103" s="22">
        <f t="shared" si="8"/>
        <v>299.23141807268689</v>
      </c>
      <c r="I103" s="22">
        <f t="shared" si="9"/>
        <v>-10.052744410690764</v>
      </c>
      <c r="J103" s="21" t="s">
        <v>22</v>
      </c>
      <c r="K103" s="23" t="s">
        <v>19</v>
      </c>
      <c r="L103" s="24">
        <v>10.78</v>
      </c>
      <c r="M103" s="24">
        <v>11.816666666666666</v>
      </c>
      <c r="N103" s="22">
        <f t="shared" si="10"/>
        <v>118.61462824984739</v>
      </c>
      <c r="Q103" s="49"/>
      <c r="S103" s="55"/>
      <c r="T103" s="55"/>
      <c r="V103" s="56"/>
    </row>
    <row r="104" spans="5:22">
      <c r="E104" s="158" t="str">
        <f t="shared" si="11"/>
        <v>*</v>
      </c>
      <c r="F104" s="21" t="s">
        <v>188</v>
      </c>
      <c r="G104" s="89" t="s">
        <v>253</v>
      </c>
      <c r="H104" s="22">
        <f t="shared" ref="H104:H117" si="12">IF(SIN($N$120*N104)&lt;0,ACOS((SIN($N$120*M104)-SIN($N$120*I104)*SIN($N$120*$C$13))/(COS($N$120*I104)*COS($N$120*$C$13)))/$N$120,360-ACOS((SIN($N$120*M104)-SIN($N$120*I104)*SIN($N$120*$C$13))/(COS($N$120*I104)*COS($N$120*$C$13)))/$N$120)</f>
        <v>323.39442865942158</v>
      </c>
      <c r="I104" s="22">
        <f t="shared" ref="I104:I117" si="13">ASIN(SIN($N$120*M104)*SIN($N$120*$C$13)+COS($N$120*M104)*COS($N$120*$C$13)*COS($N$120*N104))/$N$120</f>
        <v>26.6352546096807</v>
      </c>
      <c r="J104" s="21" t="s">
        <v>189</v>
      </c>
      <c r="K104" s="23" t="s">
        <v>67</v>
      </c>
      <c r="L104" s="24">
        <v>11.246666666666666</v>
      </c>
      <c r="M104" s="24">
        <v>55.016666666666666</v>
      </c>
      <c r="N104" s="22">
        <f t="shared" ref="N104:N117" si="14">$C$16-((L104/24)*360)</f>
        <v>111.61462824984739</v>
      </c>
      <c r="Q104" s="49"/>
      <c r="S104" s="55"/>
      <c r="T104" s="55"/>
      <c r="V104" s="56"/>
    </row>
    <row r="105" spans="5:22">
      <c r="E105" s="158" t="str">
        <f t="shared" si="11"/>
        <v/>
      </c>
      <c r="F105" s="21" t="s">
        <v>190</v>
      </c>
      <c r="G105" s="89" t="s">
        <v>253</v>
      </c>
      <c r="H105" s="22">
        <f t="shared" si="12"/>
        <v>285.21111436293359</v>
      </c>
      <c r="I105" s="22">
        <f t="shared" si="13"/>
        <v>6.1298148305896198</v>
      </c>
      <c r="J105" s="21" t="s">
        <v>22</v>
      </c>
      <c r="K105" s="23" t="s">
        <v>67</v>
      </c>
      <c r="L105" s="24">
        <v>12.23</v>
      </c>
      <c r="M105" s="24">
        <v>14.9</v>
      </c>
      <c r="N105" s="22">
        <f t="shared" si="14"/>
        <v>96.864628249847357</v>
      </c>
      <c r="Q105" s="49"/>
      <c r="S105" s="55"/>
      <c r="T105" s="55"/>
      <c r="V105" s="56"/>
    </row>
    <row r="106" spans="5:22">
      <c r="E106" s="158" t="str">
        <f t="shared" si="11"/>
        <v/>
      </c>
      <c r="F106" s="21" t="s">
        <v>191</v>
      </c>
      <c r="G106" s="89" t="s">
        <v>253</v>
      </c>
      <c r="H106" s="22">
        <f t="shared" si="12"/>
        <v>283.99421807900342</v>
      </c>
      <c r="I106" s="22">
        <f t="shared" si="13"/>
        <v>6.6129808240426735</v>
      </c>
      <c r="J106" s="21" t="s">
        <v>192</v>
      </c>
      <c r="K106" s="23" t="s">
        <v>29</v>
      </c>
      <c r="L106" s="24">
        <v>12.313333333333333</v>
      </c>
      <c r="M106" s="24">
        <v>14.416666666666666</v>
      </c>
      <c r="N106" s="22">
        <f t="shared" si="14"/>
        <v>95.614628249847385</v>
      </c>
      <c r="Q106" s="49"/>
      <c r="S106" s="55"/>
      <c r="T106" s="55"/>
      <c r="V106" s="56"/>
    </row>
    <row r="107" spans="5:22">
      <c r="E107" s="158" t="str">
        <f t="shared" si="11"/>
        <v/>
      </c>
      <c r="F107" s="21" t="s">
        <v>193</v>
      </c>
      <c r="G107" s="89" t="s">
        <v>253</v>
      </c>
      <c r="H107" s="22">
        <f t="shared" si="12"/>
        <v>284.25120113891091</v>
      </c>
      <c r="I107" s="22">
        <f t="shared" si="13"/>
        <v>8.3083244485742593</v>
      </c>
      <c r="J107" s="21" t="s">
        <v>194</v>
      </c>
      <c r="K107" s="23" t="s">
        <v>67</v>
      </c>
      <c r="L107" s="24">
        <v>12.381666666666666</v>
      </c>
      <c r="M107" s="24">
        <v>15.816666666666666</v>
      </c>
      <c r="N107" s="22">
        <f t="shared" si="14"/>
        <v>94.589628249847408</v>
      </c>
      <c r="Q107" s="49"/>
      <c r="S107" s="55"/>
      <c r="T107" s="55"/>
      <c r="V107" s="56"/>
    </row>
    <row r="108" spans="5:22">
      <c r="E108" s="158" t="str">
        <f t="shared" si="11"/>
        <v>*</v>
      </c>
      <c r="F108" s="21" t="s">
        <v>195</v>
      </c>
      <c r="G108" s="89" t="s">
        <v>253</v>
      </c>
      <c r="H108" s="22">
        <f t="shared" si="12"/>
        <v>307.04082390408792</v>
      </c>
      <c r="I108" s="22">
        <f t="shared" si="13"/>
        <v>46.842823013133255</v>
      </c>
      <c r="J108" s="21" t="s">
        <v>196</v>
      </c>
      <c r="K108" s="23" t="s">
        <v>67</v>
      </c>
      <c r="L108" s="24">
        <v>14.053333333333333</v>
      </c>
      <c r="M108" s="24">
        <v>54.35</v>
      </c>
      <c r="N108" s="22">
        <f t="shared" si="14"/>
        <v>69.514628249847391</v>
      </c>
      <c r="Q108" s="49"/>
      <c r="S108" s="55"/>
      <c r="T108" s="55"/>
      <c r="V108" s="56"/>
    </row>
    <row r="109" spans="5:22">
      <c r="E109" s="158" t="str">
        <f t="shared" si="11"/>
        <v>*</v>
      </c>
      <c r="F109" s="21" t="s">
        <v>197</v>
      </c>
      <c r="G109" s="89" t="s">
        <v>253</v>
      </c>
      <c r="H109" s="22">
        <f t="shared" si="12"/>
        <v>305.90224385029114</v>
      </c>
      <c r="I109" s="22">
        <f t="shared" si="13"/>
        <v>55.968458250992342</v>
      </c>
      <c r="J109" s="21" t="s">
        <v>198</v>
      </c>
      <c r="K109" s="23" t="s">
        <v>29</v>
      </c>
      <c r="L109" s="24">
        <v>15.108333333333333</v>
      </c>
      <c r="M109" s="24">
        <v>55.766666666666666</v>
      </c>
      <c r="N109" s="22">
        <f t="shared" si="14"/>
        <v>53.689628249847402</v>
      </c>
      <c r="Q109" s="49"/>
      <c r="S109" s="55"/>
      <c r="T109" s="55"/>
      <c r="V109" s="56"/>
    </row>
    <row r="110" spans="5:22">
      <c r="E110" s="158" t="str">
        <f t="shared" si="11"/>
        <v>*</v>
      </c>
      <c r="F110" s="21" t="s">
        <v>199</v>
      </c>
      <c r="G110" s="89" t="s">
        <v>253</v>
      </c>
      <c r="H110" s="22">
        <f t="shared" si="12"/>
        <v>35.019497838568981</v>
      </c>
      <c r="I110" s="22">
        <f t="shared" si="13"/>
        <v>33.799466031199202</v>
      </c>
      <c r="J110" s="21" t="s">
        <v>22</v>
      </c>
      <c r="K110" s="23" t="s">
        <v>23</v>
      </c>
      <c r="L110" s="24">
        <v>1.5533333333333332</v>
      </c>
      <c r="M110" s="24">
        <v>60.7</v>
      </c>
      <c r="N110" s="22">
        <f t="shared" si="14"/>
        <v>257.01462824984736</v>
      </c>
      <c r="Q110" s="49"/>
      <c r="S110" s="55"/>
      <c r="T110" s="55"/>
      <c r="V110" s="56"/>
    </row>
    <row r="111" spans="5:22">
      <c r="E111" s="158" t="str">
        <f t="shared" si="11"/>
        <v/>
      </c>
      <c r="F111" s="21" t="s">
        <v>200</v>
      </c>
      <c r="G111" s="89" t="s">
        <v>253</v>
      </c>
      <c r="H111" s="22">
        <f t="shared" si="12"/>
        <v>262.16193715478857</v>
      </c>
      <c r="I111" s="22">
        <f t="shared" si="13"/>
        <v>-8.6065491943009693</v>
      </c>
      <c r="J111" s="21" t="s">
        <v>201</v>
      </c>
      <c r="K111" s="23" t="s">
        <v>23</v>
      </c>
      <c r="L111" s="24">
        <v>12.666666666666666</v>
      </c>
      <c r="M111" s="24">
        <v>-11.616666666666667</v>
      </c>
      <c r="N111" s="22">
        <f t="shared" si="14"/>
        <v>90.314628249847374</v>
      </c>
      <c r="Q111" s="49"/>
      <c r="S111" s="55"/>
      <c r="T111" s="55"/>
      <c r="V111" s="56"/>
    </row>
    <row r="112" spans="5:22">
      <c r="E112" s="158" t="str">
        <f t="shared" si="11"/>
        <v/>
      </c>
      <c r="F112" s="21" t="s">
        <v>202</v>
      </c>
      <c r="G112" s="89" t="s">
        <v>253</v>
      </c>
      <c r="H112" s="22">
        <f t="shared" si="12"/>
        <v>299.51358016331847</v>
      </c>
      <c r="I112" s="22">
        <f t="shared" si="13"/>
        <v>-9.2976814010055104</v>
      </c>
      <c r="J112" s="21" t="s">
        <v>22</v>
      </c>
      <c r="K112" s="23" t="s">
        <v>19</v>
      </c>
      <c r="L112" s="24">
        <v>10.796666666666667</v>
      </c>
      <c r="M112" s="24">
        <v>12.583333333333334</v>
      </c>
      <c r="N112" s="22">
        <f t="shared" si="14"/>
        <v>118.36462824984739</v>
      </c>
      <c r="Q112" s="49"/>
      <c r="S112" s="55"/>
      <c r="T112" s="55"/>
      <c r="V112" s="56"/>
    </row>
    <row r="113" spans="5:22">
      <c r="E113" s="158" t="str">
        <f t="shared" si="11"/>
        <v>*</v>
      </c>
      <c r="F113" s="21" t="s">
        <v>203</v>
      </c>
      <c r="G113" s="89" t="s">
        <v>253</v>
      </c>
      <c r="H113" s="22">
        <f t="shared" si="12"/>
        <v>309.37903391772392</v>
      </c>
      <c r="I113" s="22">
        <f t="shared" si="13"/>
        <v>29.165809208382264</v>
      </c>
      <c r="J113" s="21" t="s">
        <v>22</v>
      </c>
      <c r="K113" s="23" t="s">
        <v>29</v>
      </c>
      <c r="L113" s="24">
        <v>12.316666666666666</v>
      </c>
      <c r="M113" s="24">
        <v>47.3</v>
      </c>
      <c r="N113" s="22">
        <f t="shared" si="14"/>
        <v>95.564628249847402</v>
      </c>
      <c r="Q113" s="49"/>
      <c r="S113" s="55"/>
      <c r="T113" s="55"/>
      <c r="V113" s="56"/>
    </row>
    <row r="114" spans="5:22">
      <c r="E114" s="158" t="str">
        <f t="shared" si="11"/>
        <v/>
      </c>
      <c r="F114" s="21" t="s">
        <v>204</v>
      </c>
      <c r="G114" s="89" t="s">
        <v>253</v>
      </c>
      <c r="H114" s="22">
        <f t="shared" si="12"/>
        <v>214.57086249453619</v>
      </c>
      <c r="I114" s="22">
        <f t="shared" si="13"/>
        <v>23.851592141054461</v>
      </c>
      <c r="J114" s="21" t="s">
        <v>205</v>
      </c>
      <c r="K114" s="23" t="s">
        <v>29</v>
      </c>
      <c r="L114" s="24">
        <v>16.541666666666668</v>
      </c>
      <c r="M114" s="24">
        <v>-13.05</v>
      </c>
      <c r="N114" s="22">
        <f t="shared" si="14"/>
        <v>32.189628249847345</v>
      </c>
      <c r="Q114" s="49"/>
      <c r="S114" s="55"/>
      <c r="T114" s="55"/>
      <c r="V114" s="56"/>
    </row>
    <row r="115" spans="5:22">
      <c r="E115" s="158" t="str">
        <f t="shared" si="11"/>
        <v>*</v>
      </c>
      <c r="F115" s="21" t="s">
        <v>206</v>
      </c>
      <c r="G115" s="89" t="s">
        <v>253</v>
      </c>
      <c r="H115" s="22">
        <f t="shared" si="12"/>
        <v>324.28172642789474</v>
      </c>
      <c r="I115" s="22">
        <f t="shared" si="13"/>
        <v>26.754365230329071</v>
      </c>
      <c r="J115" s="21" t="s">
        <v>207</v>
      </c>
      <c r="K115" s="23" t="s">
        <v>29</v>
      </c>
      <c r="L115" s="24">
        <v>11.191666666666666</v>
      </c>
      <c r="M115" s="24">
        <v>55.666666666666664</v>
      </c>
      <c r="N115" s="22">
        <f t="shared" si="14"/>
        <v>112.43962824984737</v>
      </c>
      <c r="Q115" s="49"/>
      <c r="S115" s="55"/>
      <c r="T115" s="55"/>
      <c r="V115" s="56"/>
    </row>
    <row r="116" spans="5:22">
      <c r="E116" s="158" t="str">
        <f t="shared" si="11"/>
        <v>*</v>
      </c>
      <c r="F116" s="21" t="s">
        <v>208</v>
      </c>
      <c r="G116" s="89" t="s">
        <v>253</v>
      </c>
      <c r="H116" s="22">
        <f t="shared" si="12"/>
        <v>317.30819925113349</v>
      </c>
      <c r="I116" s="22">
        <f t="shared" si="13"/>
        <v>30.259871107611865</v>
      </c>
      <c r="J116" s="21" t="s">
        <v>209</v>
      </c>
      <c r="K116" s="23" t="s">
        <v>29</v>
      </c>
      <c r="L116" s="24">
        <v>11.96</v>
      </c>
      <c r="M116" s="24">
        <v>53.383333333333333</v>
      </c>
      <c r="N116" s="22">
        <f t="shared" si="14"/>
        <v>100.91462824984737</v>
      </c>
      <c r="Q116" s="49"/>
      <c r="S116" s="55"/>
      <c r="T116" s="55"/>
      <c r="V116" s="56"/>
    </row>
    <row r="117" spans="5:22">
      <c r="E117" s="158" t="str">
        <f t="shared" si="11"/>
        <v>*</v>
      </c>
      <c r="F117" s="21" t="s">
        <v>210</v>
      </c>
      <c r="G117" s="89" t="s">
        <v>253</v>
      </c>
      <c r="H117" s="22">
        <f t="shared" si="12"/>
        <v>58.583614823874569</v>
      </c>
      <c r="I117" s="22">
        <f t="shared" si="13"/>
        <v>28.941170997405671</v>
      </c>
      <c r="J117" s="21" t="s">
        <v>211</v>
      </c>
      <c r="K117" s="23" t="s">
        <v>29</v>
      </c>
      <c r="L117" s="24">
        <v>0.67333333333333334</v>
      </c>
      <c r="M117" s="24">
        <v>41.68333333333333</v>
      </c>
      <c r="N117" s="22">
        <f t="shared" si="14"/>
        <v>270.21462824984735</v>
      </c>
      <c r="Q117" s="50"/>
      <c r="R117" s="61"/>
      <c r="S117" s="57"/>
      <c r="T117" s="57"/>
      <c r="U117" s="51"/>
      <c r="V117" s="58"/>
    </row>
    <row r="120" spans="5:22">
      <c r="M120" s="105" t="s">
        <v>258</v>
      </c>
      <c r="N120" s="67">
        <f>PI()/180</f>
        <v>1.7453292519943295E-2</v>
      </c>
    </row>
  </sheetData>
  <sheetProtection sheet="1" objects="1" scenarios="1"/>
  <mergeCells count="6">
    <mergeCell ref="Q2:V2"/>
    <mergeCell ref="B27:D27"/>
    <mergeCell ref="B19:B24"/>
    <mergeCell ref="B36:D36"/>
    <mergeCell ref="B2:C2"/>
    <mergeCell ref="F2:N2"/>
  </mergeCells>
  <conditionalFormatting sqref="F8:F117">
    <cfRule type="expression" dxfId="12" priority="13">
      <formula>AND($I8&gt;=$I$4,$I8&lt;=$I$6,$H8&gt;=$H$4,$H8&lt;=$H$6)</formula>
    </cfRule>
  </conditionalFormatting>
  <conditionalFormatting sqref="H8:H117">
    <cfRule type="expression" dxfId="11" priority="12">
      <formula>AND($H8&gt;=$H$4,$H8&lt;=$H$6)</formula>
    </cfRule>
  </conditionalFormatting>
  <conditionalFormatting sqref="I8:I117">
    <cfRule type="expression" dxfId="10" priority="11">
      <formula>AND($I8&gt;=$I$4,$I8&lt;=$I$6)</formula>
    </cfRule>
  </conditionalFormatting>
  <conditionalFormatting sqref="K8:K117">
    <cfRule type="cellIs" dxfId="9" priority="6" operator="equal">
      <formula>"Very Easy"</formula>
    </cfRule>
    <cfRule type="cellIs" dxfId="8" priority="7" operator="equal">
      <formula>"Easy"</formula>
    </cfRule>
    <cfRule type="cellIs" dxfId="7" priority="8" operator="equal">
      <formula>"Moderate"</formula>
    </cfRule>
    <cfRule type="cellIs" dxfId="6" priority="9" operator="equal">
      <formula>"Hard"</formula>
    </cfRule>
    <cfRule type="cellIs" dxfId="5" priority="10" operator="equal">
      <formula>"Very Hard"</formula>
    </cfRule>
  </conditionalFormatting>
  <conditionalFormatting sqref="V8:V117">
    <cfRule type="cellIs" dxfId="4" priority="1" operator="equal">
      <formula>"Very Easy"</formula>
    </cfRule>
    <cfRule type="cellIs" dxfId="3" priority="2" operator="equal">
      <formula>"Easy"</formula>
    </cfRule>
    <cfRule type="cellIs" dxfId="2" priority="3" operator="equal">
      <formula>"Moderate"</formula>
    </cfRule>
    <cfRule type="cellIs" dxfId="1" priority="4" operator="equal">
      <formula>"Hard"</formula>
    </cfRule>
    <cfRule type="cellIs" dxfId="0" priority="5" operator="equal">
      <formula>"Very Hard"</formula>
    </cfRule>
  </conditionalFormatting>
  <dataValidations count="3">
    <dataValidation type="list" allowBlank="1" showInputMessage="1" showErrorMessage="1" sqref="G8:G117" xr:uid="{4EA6E2A8-4CBC-364C-8820-F741AFA35364}">
      <formula1>$C$19:$C$24</formula1>
    </dataValidation>
    <dataValidation type="list" allowBlank="1" showInputMessage="1" showErrorMessage="1" sqref="C12" xr:uid="{CE1EBAFF-1817-A241-B6DE-C00E6E1355D7}">
      <formula1>$B$29:$B$33</formula1>
    </dataValidation>
    <dataValidation type="list" allowBlank="1" showInputMessage="1" showErrorMessage="1" sqref="D19:D24" xr:uid="{351AF98B-88F7-454A-B596-DCF565A46F68}">
      <formula1>$B$55:$B$56</formula1>
    </dataValidation>
  </dataValidations>
  <pageMargins left="0.7" right="0.7" top="0.75" bottom="0.75" header="0.3" footer="0.3"/>
  <pageSetup paperSize="9" orientation="portrait"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B7503-D57E-A24F-9681-193C89971282}">
  <dimension ref="B1:J209"/>
  <sheetViews>
    <sheetView showGridLines="0" topLeftCell="A8" workbookViewId="0">
      <selection activeCell="C21" sqref="C21"/>
    </sheetView>
  </sheetViews>
  <sheetFormatPr baseColWidth="10" defaultRowHeight="13"/>
  <cols>
    <col min="1" max="1" width="10.83203125" style="146" customWidth="1"/>
    <col min="2" max="2" width="15.83203125" style="146" customWidth="1"/>
    <col min="3" max="3" width="13.33203125" style="146" customWidth="1"/>
    <col min="4" max="4" width="15.83203125" style="146" customWidth="1"/>
    <col min="5" max="7" width="10.83203125" style="146" customWidth="1"/>
    <col min="8" max="10" width="12.1640625" style="146" customWidth="1"/>
    <col min="11" max="22" width="10.83203125" style="146" customWidth="1"/>
    <col min="23" max="23" width="10.1640625" style="146" bestFit="1" customWidth="1"/>
    <col min="24" max="247" width="8.83203125" style="146" customWidth="1"/>
    <col min="248" max="248" width="7.83203125" style="146" customWidth="1"/>
    <col min="249" max="249" width="7.5" style="146" customWidth="1"/>
    <col min="250" max="250" width="9" style="146" customWidth="1"/>
    <col min="251" max="251" width="8.33203125" style="146" customWidth="1"/>
    <col min="252" max="254" width="8.5" style="146" bestFit="1" customWidth="1"/>
    <col min="255" max="255" width="10" style="146" bestFit="1" customWidth="1"/>
    <col min="256" max="256" width="8.1640625" style="146" bestFit="1" customWidth="1"/>
    <col min="257" max="258" width="8.5" style="146" bestFit="1" customWidth="1"/>
    <col min="259" max="259" width="6" style="146" bestFit="1" customWidth="1"/>
    <col min="260" max="260" width="8.83203125" style="146" customWidth="1"/>
    <col min="261" max="261" width="8.5" style="146" bestFit="1" customWidth="1"/>
    <col min="262" max="262" width="7.1640625" style="146" bestFit="1" customWidth="1"/>
    <col min="263" max="263" width="4.5" style="146" bestFit="1" customWidth="1"/>
    <col min="264" max="264" width="5.5" style="146" bestFit="1" customWidth="1"/>
    <col min="265" max="267" width="6.1640625" style="146" bestFit="1" customWidth="1"/>
    <col min="268" max="268" width="7.1640625" style="146" bestFit="1" customWidth="1"/>
    <col min="269" max="278" width="8.83203125" style="146" customWidth="1"/>
    <col min="279" max="279" width="10" style="146" bestFit="1" customWidth="1"/>
    <col min="280" max="503" width="8.83203125" style="146" customWidth="1"/>
    <col min="504" max="504" width="7.83203125" style="146" customWidth="1"/>
    <col min="505" max="505" width="7.5" style="146" customWidth="1"/>
    <col min="506" max="506" width="9" style="146" customWidth="1"/>
    <col min="507" max="507" width="8.33203125" style="146" customWidth="1"/>
    <col min="508" max="510" width="8.5" style="146" bestFit="1" customWidth="1"/>
    <col min="511" max="511" width="10" style="146" bestFit="1" customWidth="1"/>
    <col min="512" max="512" width="8.1640625" style="146" bestFit="1" customWidth="1"/>
    <col min="513" max="514" width="8.5" style="146" bestFit="1" customWidth="1"/>
    <col min="515" max="515" width="6" style="146" bestFit="1" customWidth="1"/>
    <col min="516" max="516" width="8.83203125" style="146" customWidth="1"/>
    <col min="517" max="517" width="8.5" style="146" bestFit="1" customWidth="1"/>
    <col min="518" max="518" width="7.1640625" style="146" bestFit="1" customWidth="1"/>
    <col min="519" max="519" width="4.5" style="146" bestFit="1" customWidth="1"/>
    <col min="520" max="520" width="5.5" style="146" bestFit="1" customWidth="1"/>
    <col min="521" max="523" width="6.1640625" style="146" bestFit="1" customWidth="1"/>
    <col min="524" max="524" width="7.1640625" style="146" bestFit="1" customWidth="1"/>
    <col min="525" max="534" width="8.83203125" style="146" customWidth="1"/>
    <col min="535" max="535" width="10" style="146" bestFit="1" customWidth="1"/>
    <col min="536" max="759" width="8.83203125" style="146" customWidth="1"/>
    <col min="760" max="760" width="7.83203125" style="146" customWidth="1"/>
    <col min="761" max="761" width="7.5" style="146" customWidth="1"/>
    <col min="762" max="762" width="9" style="146" customWidth="1"/>
    <col min="763" max="763" width="8.33203125" style="146" customWidth="1"/>
    <col min="764" max="766" width="8.5" style="146" bestFit="1" customWidth="1"/>
    <col min="767" max="767" width="10" style="146" bestFit="1" customWidth="1"/>
    <col min="768" max="768" width="8.1640625" style="146" bestFit="1" customWidth="1"/>
    <col min="769" max="770" width="8.5" style="146" bestFit="1" customWidth="1"/>
    <col min="771" max="771" width="6" style="146" bestFit="1" customWidth="1"/>
    <col min="772" max="772" width="8.83203125" style="146" customWidth="1"/>
    <col min="773" max="773" width="8.5" style="146" bestFit="1" customWidth="1"/>
    <col min="774" max="774" width="7.1640625" style="146" bestFit="1" customWidth="1"/>
    <col min="775" max="775" width="4.5" style="146" bestFit="1" customWidth="1"/>
    <col min="776" max="776" width="5.5" style="146" bestFit="1" customWidth="1"/>
    <col min="777" max="779" width="6.1640625" style="146" bestFit="1" customWidth="1"/>
    <col min="780" max="780" width="7.1640625" style="146" bestFit="1" customWidth="1"/>
    <col min="781" max="790" width="8.83203125" style="146" customWidth="1"/>
    <col min="791" max="791" width="10" style="146" bestFit="1" customWidth="1"/>
    <col min="792" max="1015" width="8.83203125" style="146" customWidth="1"/>
    <col min="1016" max="1016" width="7.83203125" style="146" customWidth="1"/>
    <col min="1017" max="1017" width="7.5" style="146" customWidth="1"/>
    <col min="1018" max="1018" width="9" style="146" customWidth="1"/>
    <col min="1019" max="1019" width="8.33203125" style="146" customWidth="1"/>
    <col min="1020" max="1022" width="8.5" style="146" bestFit="1" customWidth="1"/>
    <col min="1023" max="1023" width="10" style="146" bestFit="1" customWidth="1"/>
    <col min="1024" max="1024" width="8.1640625" style="146" bestFit="1" customWidth="1"/>
    <col min="1025" max="1026" width="8.5" style="146" bestFit="1" customWidth="1"/>
    <col min="1027" max="1027" width="6" style="146" bestFit="1" customWidth="1"/>
    <col min="1028" max="1028" width="8.83203125" style="146" customWidth="1"/>
    <col min="1029" max="1029" width="8.5" style="146" bestFit="1" customWidth="1"/>
    <col min="1030" max="1030" width="7.1640625" style="146" bestFit="1" customWidth="1"/>
    <col min="1031" max="1031" width="4.5" style="146" bestFit="1" customWidth="1"/>
    <col min="1032" max="1032" width="5.5" style="146" bestFit="1" customWidth="1"/>
    <col min="1033" max="1035" width="6.1640625" style="146" bestFit="1" customWidth="1"/>
    <col min="1036" max="1036" width="7.1640625" style="146" bestFit="1" customWidth="1"/>
    <col min="1037" max="1046" width="8.83203125" style="146" customWidth="1"/>
    <col min="1047" max="1047" width="10" style="146" bestFit="1" customWidth="1"/>
    <col min="1048" max="1271" width="8.83203125" style="146" customWidth="1"/>
    <col min="1272" max="1272" width="7.83203125" style="146" customWidth="1"/>
    <col min="1273" max="1273" width="7.5" style="146" customWidth="1"/>
    <col min="1274" max="1274" width="9" style="146" customWidth="1"/>
    <col min="1275" max="1275" width="8.33203125" style="146" customWidth="1"/>
    <col min="1276" max="1278" width="8.5" style="146" bestFit="1" customWidth="1"/>
    <col min="1279" max="1279" width="10" style="146" bestFit="1" customWidth="1"/>
    <col min="1280" max="1280" width="8.1640625" style="146" bestFit="1" customWidth="1"/>
    <col min="1281" max="1282" width="8.5" style="146" bestFit="1" customWidth="1"/>
    <col min="1283" max="1283" width="6" style="146" bestFit="1" customWidth="1"/>
    <col min="1284" max="1284" width="8.83203125" style="146" customWidth="1"/>
    <col min="1285" max="1285" width="8.5" style="146" bestFit="1" customWidth="1"/>
    <col min="1286" max="1286" width="7.1640625" style="146" bestFit="1" customWidth="1"/>
    <col min="1287" max="1287" width="4.5" style="146" bestFit="1" customWidth="1"/>
    <col min="1288" max="1288" width="5.5" style="146" bestFit="1" customWidth="1"/>
    <col min="1289" max="1291" width="6.1640625" style="146" bestFit="1" customWidth="1"/>
    <col min="1292" max="1292" width="7.1640625" style="146" bestFit="1" customWidth="1"/>
    <col min="1293" max="1302" width="8.83203125" style="146" customWidth="1"/>
    <col min="1303" max="1303" width="10" style="146" bestFit="1" customWidth="1"/>
    <col min="1304" max="1527" width="8.83203125" style="146" customWidth="1"/>
    <col min="1528" max="1528" width="7.83203125" style="146" customWidth="1"/>
    <col min="1529" max="1529" width="7.5" style="146" customWidth="1"/>
    <col min="1530" max="1530" width="9" style="146" customWidth="1"/>
    <col min="1531" max="1531" width="8.33203125" style="146" customWidth="1"/>
    <col min="1532" max="1534" width="8.5" style="146" bestFit="1" customWidth="1"/>
    <col min="1535" max="1535" width="10" style="146" bestFit="1" customWidth="1"/>
    <col min="1536" max="1536" width="8.1640625" style="146" bestFit="1" customWidth="1"/>
    <col min="1537" max="1538" width="8.5" style="146" bestFit="1" customWidth="1"/>
    <col min="1539" max="1539" width="6" style="146" bestFit="1" customWidth="1"/>
    <col min="1540" max="1540" width="8.83203125" style="146" customWidth="1"/>
    <col min="1541" max="1541" width="8.5" style="146" bestFit="1" customWidth="1"/>
    <col min="1542" max="1542" width="7.1640625" style="146" bestFit="1" customWidth="1"/>
    <col min="1543" max="1543" width="4.5" style="146" bestFit="1" customWidth="1"/>
    <col min="1544" max="1544" width="5.5" style="146" bestFit="1" customWidth="1"/>
    <col min="1545" max="1547" width="6.1640625" style="146" bestFit="1" customWidth="1"/>
    <col min="1548" max="1548" width="7.1640625" style="146" bestFit="1" customWidth="1"/>
    <col min="1549" max="1558" width="8.83203125" style="146" customWidth="1"/>
    <col min="1559" max="1559" width="10" style="146" bestFit="1" customWidth="1"/>
    <col min="1560" max="1783" width="8.83203125" style="146" customWidth="1"/>
    <col min="1784" max="1784" width="7.83203125" style="146" customWidth="1"/>
    <col min="1785" max="1785" width="7.5" style="146" customWidth="1"/>
    <col min="1786" max="1786" width="9" style="146" customWidth="1"/>
    <col min="1787" max="1787" width="8.33203125" style="146" customWidth="1"/>
    <col min="1788" max="1790" width="8.5" style="146" bestFit="1" customWidth="1"/>
    <col min="1791" max="1791" width="10" style="146" bestFit="1" customWidth="1"/>
    <col min="1792" max="1792" width="8.1640625" style="146" bestFit="1" customWidth="1"/>
    <col min="1793" max="1794" width="8.5" style="146" bestFit="1" customWidth="1"/>
    <col min="1795" max="1795" width="6" style="146" bestFit="1" customWidth="1"/>
    <col min="1796" max="1796" width="8.83203125" style="146" customWidth="1"/>
    <col min="1797" max="1797" width="8.5" style="146" bestFit="1" customWidth="1"/>
    <col min="1798" max="1798" width="7.1640625" style="146" bestFit="1" customWidth="1"/>
    <col min="1799" max="1799" width="4.5" style="146" bestFit="1" customWidth="1"/>
    <col min="1800" max="1800" width="5.5" style="146" bestFit="1" customWidth="1"/>
    <col min="1801" max="1803" width="6.1640625" style="146" bestFit="1" customWidth="1"/>
    <col min="1804" max="1804" width="7.1640625" style="146" bestFit="1" customWidth="1"/>
    <col min="1805" max="1814" width="8.83203125" style="146" customWidth="1"/>
    <col min="1815" max="1815" width="10" style="146" bestFit="1" customWidth="1"/>
    <col min="1816" max="2039" width="8.83203125" style="146" customWidth="1"/>
    <col min="2040" max="2040" width="7.83203125" style="146" customWidth="1"/>
    <col min="2041" max="2041" width="7.5" style="146" customWidth="1"/>
    <col min="2042" max="2042" width="9" style="146" customWidth="1"/>
    <col min="2043" max="2043" width="8.33203125" style="146" customWidth="1"/>
    <col min="2044" max="2046" width="8.5" style="146" bestFit="1" customWidth="1"/>
    <col min="2047" max="2047" width="10" style="146" bestFit="1" customWidth="1"/>
    <col min="2048" max="2048" width="8.1640625" style="146" bestFit="1" customWidth="1"/>
    <col min="2049" max="2050" width="8.5" style="146" bestFit="1" customWidth="1"/>
    <col min="2051" max="2051" width="6" style="146" bestFit="1" customWidth="1"/>
    <col min="2052" max="2052" width="8.83203125" style="146" customWidth="1"/>
    <col min="2053" max="2053" width="8.5" style="146" bestFit="1" customWidth="1"/>
    <col min="2054" max="2054" width="7.1640625" style="146" bestFit="1" customWidth="1"/>
    <col min="2055" max="2055" width="4.5" style="146" bestFit="1" customWidth="1"/>
    <col min="2056" max="2056" width="5.5" style="146" bestFit="1" customWidth="1"/>
    <col min="2057" max="2059" width="6.1640625" style="146" bestFit="1" customWidth="1"/>
    <col min="2060" max="2060" width="7.1640625" style="146" bestFit="1" customWidth="1"/>
    <col min="2061" max="2070" width="8.83203125" style="146" customWidth="1"/>
    <col min="2071" max="2071" width="10" style="146" bestFit="1" customWidth="1"/>
    <col min="2072" max="2295" width="8.83203125" style="146" customWidth="1"/>
    <col min="2296" max="2296" width="7.83203125" style="146" customWidth="1"/>
    <col min="2297" max="2297" width="7.5" style="146" customWidth="1"/>
    <col min="2298" max="2298" width="9" style="146" customWidth="1"/>
    <col min="2299" max="2299" width="8.33203125" style="146" customWidth="1"/>
    <col min="2300" max="2302" width="8.5" style="146" bestFit="1" customWidth="1"/>
    <col min="2303" max="2303" width="10" style="146" bestFit="1" customWidth="1"/>
    <col min="2304" max="2304" width="8.1640625" style="146" bestFit="1" customWidth="1"/>
    <col min="2305" max="2306" width="8.5" style="146" bestFit="1" customWidth="1"/>
    <col min="2307" max="2307" width="6" style="146" bestFit="1" customWidth="1"/>
    <col min="2308" max="2308" width="8.83203125" style="146" customWidth="1"/>
    <col min="2309" max="2309" width="8.5" style="146" bestFit="1" customWidth="1"/>
    <col min="2310" max="2310" width="7.1640625" style="146" bestFit="1" customWidth="1"/>
    <col min="2311" max="2311" width="4.5" style="146" bestFit="1" customWidth="1"/>
    <col min="2312" max="2312" width="5.5" style="146" bestFit="1" customWidth="1"/>
    <col min="2313" max="2315" width="6.1640625" style="146" bestFit="1" customWidth="1"/>
    <col min="2316" max="2316" width="7.1640625" style="146" bestFit="1" customWidth="1"/>
    <col min="2317" max="2326" width="8.83203125" style="146" customWidth="1"/>
    <col min="2327" max="2327" width="10" style="146" bestFit="1" customWidth="1"/>
    <col min="2328" max="2551" width="8.83203125" style="146" customWidth="1"/>
    <col min="2552" max="2552" width="7.83203125" style="146" customWidth="1"/>
    <col min="2553" max="2553" width="7.5" style="146" customWidth="1"/>
    <col min="2554" max="2554" width="9" style="146" customWidth="1"/>
    <col min="2555" max="2555" width="8.33203125" style="146" customWidth="1"/>
    <col min="2556" max="2558" width="8.5" style="146" bestFit="1" customWidth="1"/>
    <col min="2559" max="2559" width="10" style="146" bestFit="1" customWidth="1"/>
    <col min="2560" max="2560" width="8.1640625" style="146" bestFit="1" customWidth="1"/>
    <col min="2561" max="2562" width="8.5" style="146" bestFit="1" customWidth="1"/>
    <col min="2563" max="2563" width="6" style="146" bestFit="1" customWidth="1"/>
    <col min="2564" max="2564" width="8.83203125" style="146" customWidth="1"/>
    <col min="2565" max="2565" width="8.5" style="146" bestFit="1" customWidth="1"/>
    <col min="2566" max="2566" width="7.1640625" style="146" bestFit="1" customWidth="1"/>
    <col min="2567" max="2567" width="4.5" style="146" bestFit="1" customWidth="1"/>
    <col min="2568" max="2568" width="5.5" style="146" bestFit="1" customWidth="1"/>
    <col min="2569" max="2571" width="6.1640625" style="146" bestFit="1" customWidth="1"/>
    <col min="2572" max="2572" width="7.1640625" style="146" bestFit="1" customWidth="1"/>
    <col min="2573" max="2582" width="8.83203125" style="146" customWidth="1"/>
    <col min="2583" max="2583" width="10" style="146" bestFit="1" customWidth="1"/>
    <col min="2584" max="2807" width="8.83203125" style="146" customWidth="1"/>
    <col min="2808" max="2808" width="7.83203125" style="146" customWidth="1"/>
    <col min="2809" max="2809" width="7.5" style="146" customWidth="1"/>
    <col min="2810" max="2810" width="9" style="146" customWidth="1"/>
    <col min="2811" max="2811" width="8.33203125" style="146" customWidth="1"/>
    <col min="2812" max="2814" width="8.5" style="146" bestFit="1" customWidth="1"/>
    <col min="2815" max="2815" width="10" style="146" bestFit="1" customWidth="1"/>
    <col min="2816" max="2816" width="8.1640625" style="146" bestFit="1" customWidth="1"/>
    <col min="2817" max="2818" width="8.5" style="146" bestFit="1" customWidth="1"/>
    <col min="2819" max="2819" width="6" style="146" bestFit="1" customWidth="1"/>
    <col min="2820" max="2820" width="8.83203125" style="146" customWidth="1"/>
    <col min="2821" max="2821" width="8.5" style="146" bestFit="1" customWidth="1"/>
    <col min="2822" max="2822" width="7.1640625" style="146" bestFit="1" customWidth="1"/>
    <col min="2823" max="2823" width="4.5" style="146" bestFit="1" customWidth="1"/>
    <col min="2824" max="2824" width="5.5" style="146" bestFit="1" customWidth="1"/>
    <col min="2825" max="2827" width="6.1640625" style="146" bestFit="1" customWidth="1"/>
    <col min="2828" max="2828" width="7.1640625" style="146" bestFit="1" customWidth="1"/>
    <col min="2829" max="2838" width="8.83203125" style="146" customWidth="1"/>
    <col min="2839" max="2839" width="10" style="146" bestFit="1" customWidth="1"/>
    <col min="2840" max="3063" width="8.83203125" style="146" customWidth="1"/>
    <col min="3064" max="3064" width="7.83203125" style="146" customWidth="1"/>
    <col min="3065" max="3065" width="7.5" style="146" customWidth="1"/>
    <col min="3066" max="3066" width="9" style="146" customWidth="1"/>
    <col min="3067" max="3067" width="8.33203125" style="146" customWidth="1"/>
    <col min="3068" max="3070" width="8.5" style="146" bestFit="1" customWidth="1"/>
    <col min="3071" max="3071" width="10" style="146" bestFit="1" customWidth="1"/>
    <col min="3072" max="3072" width="8.1640625" style="146" bestFit="1" customWidth="1"/>
    <col min="3073" max="3074" width="8.5" style="146" bestFit="1" customWidth="1"/>
    <col min="3075" max="3075" width="6" style="146" bestFit="1" customWidth="1"/>
    <col min="3076" max="3076" width="8.83203125" style="146" customWidth="1"/>
    <col min="3077" max="3077" width="8.5" style="146" bestFit="1" customWidth="1"/>
    <col min="3078" max="3078" width="7.1640625" style="146" bestFit="1" customWidth="1"/>
    <col min="3079" max="3079" width="4.5" style="146" bestFit="1" customWidth="1"/>
    <col min="3080" max="3080" width="5.5" style="146" bestFit="1" customWidth="1"/>
    <col min="3081" max="3083" width="6.1640625" style="146" bestFit="1" customWidth="1"/>
    <col min="3084" max="3084" width="7.1640625" style="146" bestFit="1" customWidth="1"/>
    <col min="3085" max="3094" width="8.83203125" style="146" customWidth="1"/>
    <col min="3095" max="3095" width="10" style="146" bestFit="1" customWidth="1"/>
    <col min="3096" max="3319" width="8.83203125" style="146" customWidth="1"/>
    <col min="3320" max="3320" width="7.83203125" style="146" customWidth="1"/>
    <col min="3321" max="3321" width="7.5" style="146" customWidth="1"/>
    <col min="3322" max="3322" width="9" style="146" customWidth="1"/>
    <col min="3323" max="3323" width="8.33203125" style="146" customWidth="1"/>
    <col min="3324" max="3326" width="8.5" style="146" bestFit="1" customWidth="1"/>
    <col min="3327" max="3327" width="10" style="146" bestFit="1" customWidth="1"/>
    <col min="3328" max="3328" width="8.1640625" style="146" bestFit="1" customWidth="1"/>
    <col min="3329" max="3330" width="8.5" style="146" bestFit="1" customWidth="1"/>
    <col min="3331" max="3331" width="6" style="146" bestFit="1" customWidth="1"/>
    <col min="3332" max="3332" width="8.83203125" style="146" customWidth="1"/>
    <col min="3333" max="3333" width="8.5" style="146" bestFit="1" customWidth="1"/>
    <col min="3334" max="3334" width="7.1640625" style="146" bestFit="1" customWidth="1"/>
    <col min="3335" max="3335" width="4.5" style="146" bestFit="1" customWidth="1"/>
    <col min="3336" max="3336" width="5.5" style="146" bestFit="1" customWidth="1"/>
    <col min="3337" max="3339" width="6.1640625" style="146" bestFit="1" customWidth="1"/>
    <col min="3340" max="3340" width="7.1640625" style="146" bestFit="1" customWidth="1"/>
    <col min="3341" max="3350" width="8.83203125" style="146" customWidth="1"/>
    <col min="3351" max="3351" width="10" style="146" bestFit="1" customWidth="1"/>
    <col min="3352" max="3575" width="8.83203125" style="146" customWidth="1"/>
    <col min="3576" max="3576" width="7.83203125" style="146" customWidth="1"/>
    <col min="3577" max="3577" width="7.5" style="146" customWidth="1"/>
    <col min="3578" max="3578" width="9" style="146" customWidth="1"/>
    <col min="3579" max="3579" width="8.33203125" style="146" customWidth="1"/>
    <col min="3580" max="3582" width="8.5" style="146" bestFit="1" customWidth="1"/>
    <col min="3583" max="3583" width="10" style="146" bestFit="1" customWidth="1"/>
    <col min="3584" max="3584" width="8.1640625" style="146" bestFit="1" customWidth="1"/>
    <col min="3585" max="3586" width="8.5" style="146" bestFit="1" customWidth="1"/>
    <col min="3587" max="3587" width="6" style="146" bestFit="1" customWidth="1"/>
    <col min="3588" max="3588" width="8.83203125" style="146" customWidth="1"/>
    <col min="3589" max="3589" width="8.5" style="146" bestFit="1" customWidth="1"/>
    <col min="3590" max="3590" width="7.1640625" style="146" bestFit="1" customWidth="1"/>
    <col min="3591" max="3591" width="4.5" style="146" bestFit="1" customWidth="1"/>
    <col min="3592" max="3592" width="5.5" style="146" bestFit="1" customWidth="1"/>
    <col min="3593" max="3595" width="6.1640625" style="146" bestFit="1" customWidth="1"/>
    <col min="3596" max="3596" width="7.1640625" style="146" bestFit="1" customWidth="1"/>
    <col min="3597" max="3606" width="8.83203125" style="146" customWidth="1"/>
    <col min="3607" max="3607" width="10" style="146" bestFit="1" customWidth="1"/>
    <col min="3608" max="3831" width="8.83203125" style="146" customWidth="1"/>
    <col min="3832" max="3832" width="7.83203125" style="146" customWidth="1"/>
    <col min="3833" max="3833" width="7.5" style="146" customWidth="1"/>
    <col min="3834" max="3834" width="9" style="146" customWidth="1"/>
    <col min="3835" max="3835" width="8.33203125" style="146" customWidth="1"/>
    <col min="3836" max="3838" width="8.5" style="146" bestFit="1" customWidth="1"/>
    <col min="3839" max="3839" width="10" style="146" bestFit="1" customWidth="1"/>
    <col min="3840" max="3840" width="8.1640625" style="146" bestFit="1" customWidth="1"/>
    <col min="3841" max="3842" width="8.5" style="146" bestFit="1" customWidth="1"/>
    <col min="3843" max="3843" width="6" style="146" bestFit="1" customWidth="1"/>
    <col min="3844" max="3844" width="8.83203125" style="146" customWidth="1"/>
    <col min="3845" max="3845" width="8.5" style="146" bestFit="1" customWidth="1"/>
    <col min="3846" max="3846" width="7.1640625" style="146" bestFit="1" customWidth="1"/>
    <col min="3847" max="3847" width="4.5" style="146" bestFit="1" customWidth="1"/>
    <col min="3848" max="3848" width="5.5" style="146" bestFit="1" customWidth="1"/>
    <col min="3849" max="3851" width="6.1640625" style="146" bestFit="1" customWidth="1"/>
    <col min="3852" max="3852" width="7.1640625" style="146" bestFit="1" customWidth="1"/>
    <col min="3853" max="3862" width="8.83203125" style="146" customWidth="1"/>
    <col min="3863" max="3863" width="10" style="146" bestFit="1" customWidth="1"/>
    <col min="3864" max="4087" width="8.83203125" style="146" customWidth="1"/>
    <col min="4088" max="4088" width="7.83203125" style="146" customWidth="1"/>
    <col min="4089" max="4089" width="7.5" style="146" customWidth="1"/>
    <col min="4090" max="4090" width="9" style="146" customWidth="1"/>
    <col min="4091" max="4091" width="8.33203125" style="146" customWidth="1"/>
    <col min="4092" max="4094" width="8.5" style="146" bestFit="1" customWidth="1"/>
    <col min="4095" max="4095" width="10" style="146" bestFit="1" customWidth="1"/>
    <col min="4096" max="4096" width="8.1640625" style="146" bestFit="1" customWidth="1"/>
    <col min="4097" max="4098" width="8.5" style="146" bestFit="1" customWidth="1"/>
    <col min="4099" max="4099" width="6" style="146" bestFit="1" customWidth="1"/>
    <col min="4100" max="4100" width="8.83203125" style="146" customWidth="1"/>
    <col min="4101" max="4101" width="8.5" style="146" bestFit="1" customWidth="1"/>
    <col min="4102" max="4102" width="7.1640625" style="146" bestFit="1" customWidth="1"/>
    <col min="4103" max="4103" width="4.5" style="146" bestFit="1" customWidth="1"/>
    <col min="4104" max="4104" width="5.5" style="146" bestFit="1" customWidth="1"/>
    <col min="4105" max="4107" width="6.1640625" style="146" bestFit="1" customWidth="1"/>
    <col min="4108" max="4108" width="7.1640625" style="146" bestFit="1" customWidth="1"/>
    <col min="4109" max="4118" width="8.83203125" style="146" customWidth="1"/>
    <col min="4119" max="4119" width="10" style="146" bestFit="1" customWidth="1"/>
    <col min="4120" max="4343" width="8.83203125" style="146" customWidth="1"/>
    <col min="4344" max="4344" width="7.83203125" style="146" customWidth="1"/>
    <col min="4345" max="4345" width="7.5" style="146" customWidth="1"/>
    <col min="4346" max="4346" width="9" style="146" customWidth="1"/>
    <col min="4347" max="4347" width="8.33203125" style="146" customWidth="1"/>
    <col min="4348" max="4350" width="8.5" style="146" bestFit="1" customWidth="1"/>
    <col min="4351" max="4351" width="10" style="146" bestFit="1" customWidth="1"/>
    <col min="4352" max="4352" width="8.1640625" style="146" bestFit="1" customWidth="1"/>
    <col min="4353" max="4354" width="8.5" style="146" bestFit="1" customWidth="1"/>
    <col min="4355" max="4355" width="6" style="146" bestFit="1" customWidth="1"/>
    <col min="4356" max="4356" width="8.83203125" style="146" customWidth="1"/>
    <col min="4357" max="4357" width="8.5" style="146" bestFit="1" customWidth="1"/>
    <col min="4358" max="4358" width="7.1640625" style="146" bestFit="1" customWidth="1"/>
    <col min="4359" max="4359" width="4.5" style="146" bestFit="1" customWidth="1"/>
    <col min="4360" max="4360" width="5.5" style="146" bestFit="1" customWidth="1"/>
    <col min="4361" max="4363" width="6.1640625" style="146" bestFit="1" customWidth="1"/>
    <col min="4364" max="4364" width="7.1640625" style="146" bestFit="1" customWidth="1"/>
    <col min="4365" max="4374" width="8.83203125" style="146" customWidth="1"/>
    <col min="4375" max="4375" width="10" style="146" bestFit="1" customWidth="1"/>
    <col min="4376" max="4599" width="8.83203125" style="146" customWidth="1"/>
    <col min="4600" max="4600" width="7.83203125" style="146" customWidth="1"/>
    <col min="4601" max="4601" width="7.5" style="146" customWidth="1"/>
    <col min="4602" max="4602" width="9" style="146" customWidth="1"/>
    <col min="4603" max="4603" width="8.33203125" style="146" customWidth="1"/>
    <col min="4604" max="4606" width="8.5" style="146" bestFit="1" customWidth="1"/>
    <col min="4607" max="4607" width="10" style="146" bestFit="1" customWidth="1"/>
    <col min="4608" max="4608" width="8.1640625" style="146" bestFit="1" customWidth="1"/>
    <col min="4609" max="4610" width="8.5" style="146" bestFit="1" customWidth="1"/>
    <col min="4611" max="4611" width="6" style="146" bestFit="1" customWidth="1"/>
    <col min="4612" max="4612" width="8.83203125" style="146" customWidth="1"/>
    <col min="4613" max="4613" width="8.5" style="146" bestFit="1" customWidth="1"/>
    <col min="4614" max="4614" width="7.1640625" style="146" bestFit="1" customWidth="1"/>
    <col min="4615" max="4615" width="4.5" style="146" bestFit="1" customWidth="1"/>
    <col min="4616" max="4616" width="5.5" style="146" bestFit="1" customWidth="1"/>
    <col min="4617" max="4619" width="6.1640625" style="146" bestFit="1" customWidth="1"/>
    <col min="4620" max="4620" width="7.1640625" style="146" bestFit="1" customWidth="1"/>
    <col min="4621" max="4630" width="8.83203125" style="146" customWidth="1"/>
    <col min="4631" max="4631" width="10" style="146" bestFit="1" customWidth="1"/>
    <col min="4632" max="4855" width="8.83203125" style="146" customWidth="1"/>
    <col min="4856" max="4856" width="7.83203125" style="146" customWidth="1"/>
    <col min="4857" max="4857" width="7.5" style="146" customWidth="1"/>
    <col min="4858" max="4858" width="9" style="146" customWidth="1"/>
    <col min="4859" max="4859" width="8.33203125" style="146" customWidth="1"/>
    <col min="4860" max="4862" width="8.5" style="146" bestFit="1" customWidth="1"/>
    <col min="4863" max="4863" width="10" style="146" bestFit="1" customWidth="1"/>
    <col min="4864" max="4864" width="8.1640625" style="146" bestFit="1" customWidth="1"/>
    <col min="4865" max="4866" width="8.5" style="146" bestFit="1" customWidth="1"/>
    <col min="4867" max="4867" width="6" style="146" bestFit="1" customWidth="1"/>
    <col min="4868" max="4868" width="8.83203125" style="146" customWidth="1"/>
    <col min="4869" max="4869" width="8.5" style="146" bestFit="1" customWidth="1"/>
    <col min="4870" max="4870" width="7.1640625" style="146" bestFit="1" customWidth="1"/>
    <col min="4871" max="4871" width="4.5" style="146" bestFit="1" customWidth="1"/>
    <col min="4872" max="4872" width="5.5" style="146" bestFit="1" customWidth="1"/>
    <col min="4873" max="4875" width="6.1640625" style="146" bestFit="1" customWidth="1"/>
    <col min="4876" max="4876" width="7.1640625" style="146" bestFit="1" customWidth="1"/>
    <col min="4877" max="4886" width="8.83203125" style="146" customWidth="1"/>
    <col min="4887" max="4887" width="10" style="146" bestFit="1" customWidth="1"/>
    <col min="4888" max="5111" width="8.83203125" style="146" customWidth="1"/>
    <col min="5112" max="5112" width="7.83203125" style="146" customWidth="1"/>
    <col min="5113" max="5113" width="7.5" style="146" customWidth="1"/>
    <col min="5114" max="5114" width="9" style="146" customWidth="1"/>
    <col min="5115" max="5115" width="8.33203125" style="146" customWidth="1"/>
    <col min="5116" max="5118" width="8.5" style="146" bestFit="1" customWidth="1"/>
    <col min="5119" max="5119" width="10" style="146" bestFit="1" customWidth="1"/>
    <col min="5120" max="5120" width="8.1640625" style="146" bestFit="1" customWidth="1"/>
    <col min="5121" max="5122" width="8.5" style="146" bestFit="1" customWidth="1"/>
    <col min="5123" max="5123" width="6" style="146" bestFit="1" customWidth="1"/>
    <col min="5124" max="5124" width="8.83203125" style="146" customWidth="1"/>
    <col min="5125" max="5125" width="8.5" style="146" bestFit="1" customWidth="1"/>
    <col min="5126" max="5126" width="7.1640625" style="146" bestFit="1" customWidth="1"/>
    <col min="5127" max="5127" width="4.5" style="146" bestFit="1" customWidth="1"/>
    <col min="5128" max="5128" width="5.5" style="146" bestFit="1" customWidth="1"/>
    <col min="5129" max="5131" width="6.1640625" style="146" bestFit="1" customWidth="1"/>
    <col min="5132" max="5132" width="7.1640625" style="146" bestFit="1" customWidth="1"/>
    <col min="5133" max="5142" width="8.83203125" style="146" customWidth="1"/>
    <col min="5143" max="5143" width="10" style="146" bestFit="1" customWidth="1"/>
    <col min="5144" max="5367" width="8.83203125" style="146" customWidth="1"/>
    <col min="5368" max="5368" width="7.83203125" style="146" customWidth="1"/>
    <col min="5369" max="5369" width="7.5" style="146" customWidth="1"/>
    <col min="5370" max="5370" width="9" style="146" customWidth="1"/>
    <col min="5371" max="5371" width="8.33203125" style="146" customWidth="1"/>
    <col min="5372" max="5374" width="8.5" style="146" bestFit="1" customWidth="1"/>
    <col min="5375" max="5375" width="10" style="146" bestFit="1" customWidth="1"/>
    <col min="5376" max="5376" width="8.1640625" style="146" bestFit="1" customWidth="1"/>
    <col min="5377" max="5378" width="8.5" style="146" bestFit="1" customWidth="1"/>
    <col min="5379" max="5379" width="6" style="146" bestFit="1" customWidth="1"/>
    <col min="5380" max="5380" width="8.83203125" style="146" customWidth="1"/>
    <col min="5381" max="5381" width="8.5" style="146" bestFit="1" customWidth="1"/>
    <col min="5382" max="5382" width="7.1640625" style="146" bestFit="1" customWidth="1"/>
    <col min="5383" max="5383" width="4.5" style="146" bestFit="1" customWidth="1"/>
    <col min="5384" max="5384" width="5.5" style="146" bestFit="1" customWidth="1"/>
    <col min="5385" max="5387" width="6.1640625" style="146" bestFit="1" customWidth="1"/>
    <col min="5388" max="5388" width="7.1640625" style="146" bestFit="1" customWidth="1"/>
    <col min="5389" max="5398" width="8.83203125" style="146" customWidth="1"/>
    <col min="5399" max="5399" width="10" style="146" bestFit="1" customWidth="1"/>
    <col min="5400" max="5623" width="8.83203125" style="146" customWidth="1"/>
    <col min="5624" max="5624" width="7.83203125" style="146" customWidth="1"/>
    <col min="5625" max="5625" width="7.5" style="146" customWidth="1"/>
    <col min="5626" max="5626" width="9" style="146" customWidth="1"/>
    <col min="5627" max="5627" width="8.33203125" style="146" customWidth="1"/>
    <col min="5628" max="5630" width="8.5" style="146" bestFit="1" customWidth="1"/>
    <col min="5631" max="5631" width="10" style="146" bestFit="1" customWidth="1"/>
    <col min="5632" max="5632" width="8.1640625" style="146" bestFit="1" customWidth="1"/>
    <col min="5633" max="5634" width="8.5" style="146" bestFit="1" customWidth="1"/>
    <col min="5635" max="5635" width="6" style="146" bestFit="1" customWidth="1"/>
    <col min="5636" max="5636" width="8.83203125" style="146" customWidth="1"/>
    <col min="5637" max="5637" width="8.5" style="146" bestFit="1" customWidth="1"/>
    <col min="5638" max="5638" width="7.1640625" style="146" bestFit="1" customWidth="1"/>
    <col min="5639" max="5639" width="4.5" style="146" bestFit="1" customWidth="1"/>
    <col min="5640" max="5640" width="5.5" style="146" bestFit="1" customWidth="1"/>
    <col min="5641" max="5643" width="6.1640625" style="146" bestFit="1" customWidth="1"/>
    <col min="5644" max="5644" width="7.1640625" style="146" bestFit="1" customWidth="1"/>
    <col min="5645" max="5654" width="8.83203125" style="146" customWidth="1"/>
    <col min="5655" max="5655" width="10" style="146" bestFit="1" customWidth="1"/>
    <col min="5656" max="5879" width="8.83203125" style="146" customWidth="1"/>
    <col min="5880" max="5880" width="7.83203125" style="146" customWidth="1"/>
    <col min="5881" max="5881" width="7.5" style="146" customWidth="1"/>
    <col min="5882" max="5882" width="9" style="146" customWidth="1"/>
    <col min="5883" max="5883" width="8.33203125" style="146" customWidth="1"/>
    <col min="5884" max="5886" width="8.5" style="146" bestFit="1" customWidth="1"/>
    <col min="5887" max="5887" width="10" style="146" bestFit="1" customWidth="1"/>
    <col min="5888" max="5888" width="8.1640625" style="146" bestFit="1" customWidth="1"/>
    <col min="5889" max="5890" width="8.5" style="146" bestFit="1" customWidth="1"/>
    <col min="5891" max="5891" width="6" style="146" bestFit="1" customWidth="1"/>
    <col min="5892" max="5892" width="8.83203125" style="146" customWidth="1"/>
    <col min="5893" max="5893" width="8.5" style="146" bestFit="1" customWidth="1"/>
    <col min="5894" max="5894" width="7.1640625" style="146" bestFit="1" customWidth="1"/>
    <col min="5895" max="5895" width="4.5" style="146" bestFit="1" customWidth="1"/>
    <col min="5896" max="5896" width="5.5" style="146" bestFit="1" customWidth="1"/>
    <col min="5897" max="5899" width="6.1640625" style="146" bestFit="1" customWidth="1"/>
    <col min="5900" max="5900" width="7.1640625" style="146" bestFit="1" customWidth="1"/>
    <col min="5901" max="5910" width="8.83203125" style="146" customWidth="1"/>
    <col min="5911" max="5911" width="10" style="146" bestFit="1" customWidth="1"/>
    <col min="5912" max="6135" width="8.83203125" style="146" customWidth="1"/>
    <col min="6136" max="6136" width="7.83203125" style="146" customWidth="1"/>
    <col min="6137" max="6137" width="7.5" style="146" customWidth="1"/>
    <col min="6138" max="6138" width="9" style="146" customWidth="1"/>
    <col min="6139" max="6139" width="8.33203125" style="146" customWidth="1"/>
    <col min="6140" max="6142" width="8.5" style="146" bestFit="1" customWidth="1"/>
    <col min="6143" max="6143" width="10" style="146" bestFit="1" customWidth="1"/>
    <col min="6144" max="6144" width="8.1640625" style="146" bestFit="1" customWidth="1"/>
    <col min="6145" max="6146" width="8.5" style="146" bestFit="1" customWidth="1"/>
    <col min="6147" max="6147" width="6" style="146" bestFit="1" customWidth="1"/>
    <col min="6148" max="6148" width="8.83203125" style="146" customWidth="1"/>
    <col min="6149" max="6149" width="8.5" style="146" bestFit="1" customWidth="1"/>
    <col min="6150" max="6150" width="7.1640625" style="146" bestFit="1" customWidth="1"/>
    <col min="6151" max="6151" width="4.5" style="146" bestFit="1" customWidth="1"/>
    <col min="6152" max="6152" width="5.5" style="146" bestFit="1" customWidth="1"/>
    <col min="6153" max="6155" width="6.1640625" style="146" bestFit="1" customWidth="1"/>
    <col min="6156" max="6156" width="7.1640625" style="146" bestFit="1" customWidth="1"/>
    <col min="6157" max="6166" width="8.83203125" style="146" customWidth="1"/>
    <col min="6167" max="6167" width="10" style="146" bestFit="1" customWidth="1"/>
    <col min="6168" max="6391" width="8.83203125" style="146" customWidth="1"/>
    <col min="6392" max="6392" width="7.83203125" style="146" customWidth="1"/>
    <col min="6393" max="6393" width="7.5" style="146" customWidth="1"/>
    <col min="6394" max="6394" width="9" style="146" customWidth="1"/>
    <col min="6395" max="6395" width="8.33203125" style="146" customWidth="1"/>
    <col min="6396" max="6398" width="8.5" style="146" bestFit="1" customWidth="1"/>
    <col min="6399" max="6399" width="10" style="146" bestFit="1" customWidth="1"/>
    <col min="6400" max="6400" width="8.1640625" style="146" bestFit="1" customWidth="1"/>
    <col min="6401" max="6402" width="8.5" style="146" bestFit="1" customWidth="1"/>
    <col min="6403" max="6403" width="6" style="146" bestFit="1" customWidth="1"/>
    <col min="6404" max="6404" width="8.83203125" style="146" customWidth="1"/>
    <col min="6405" max="6405" width="8.5" style="146" bestFit="1" customWidth="1"/>
    <col min="6406" max="6406" width="7.1640625" style="146" bestFit="1" customWidth="1"/>
    <col min="6407" max="6407" width="4.5" style="146" bestFit="1" customWidth="1"/>
    <col min="6408" max="6408" width="5.5" style="146" bestFit="1" customWidth="1"/>
    <col min="6409" max="6411" width="6.1640625" style="146" bestFit="1" customWidth="1"/>
    <col min="6412" max="6412" width="7.1640625" style="146" bestFit="1" customWidth="1"/>
    <col min="6413" max="6422" width="8.83203125" style="146" customWidth="1"/>
    <col min="6423" max="6423" width="10" style="146" bestFit="1" customWidth="1"/>
    <col min="6424" max="6647" width="8.83203125" style="146" customWidth="1"/>
    <col min="6648" max="6648" width="7.83203125" style="146" customWidth="1"/>
    <col min="6649" max="6649" width="7.5" style="146" customWidth="1"/>
    <col min="6650" max="6650" width="9" style="146" customWidth="1"/>
    <col min="6651" max="6651" width="8.33203125" style="146" customWidth="1"/>
    <col min="6652" max="6654" width="8.5" style="146" bestFit="1" customWidth="1"/>
    <col min="6655" max="6655" width="10" style="146" bestFit="1" customWidth="1"/>
    <col min="6656" max="6656" width="8.1640625" style="146" bestFit="1" customWidth="1"/>
    <col min="6657" max="6658" width="8.5" style="146" bestFit="1" customWidth="1"/>
    <col min="6659" max="6659" width="6" style="146" bestFit="1" customWidth="1"/>
    <col min="6660" max="6660" width="8.83203125" style="146" customWidth="1"/>
    <col min="6661" max="6661" width="8.5" style="146" bestFit="1" customWidth="1"/>
    <col min="6662" max="6662" width="7.1640625" style="146" bestFit="1" customWidth="1"/>
    <col min="6663" max="6663" width="4.5" style="146" bestFit="1" customWidth="1"/>
    <col min="6664" max="6664" width="5.5" style="146" bestFit="1" customWidth="1"/>
    <col min="6665" max="6667" width="6.1640625" style="146" bestFit="1" customWidth="1"/>
    <col min="6668" max="6668" width="7.1640625" style="146" bestFit="1" customWidth="1"/>
    <col min="6669" max="6678" width="8.83203125" style="146" customWidth="1"/>
    <col min="6679" max="6679" width="10" style="146" bestFit="1" customWidth="1"/>
    <col min="6680" max="6903" width="8.83203125" style="146" customWidth="1"/>
    <col min="6904" max="6904" width="7.83203125" style="146" customWidth="1"/>
    <col min="6905" max="6905" width="7.5" style="146" customWidth="1"/>
    <col min="6906" max="6906" width="9" style="146" customWidth="1"/>
    <col min="6907" max="6907" width="8.33203125" style="146" customWidth="1"/>
    <col min="6908" max="6910" width="8.5" style="146" bestFit="1" customWidth="1"/>
    <col min="6911" max="6911" width="10" style="146" bestFit="1" customWidth="1"/>
    <col min="6912" max="6912" width="8.1640625" style="146" bestFit="1" customWidth="1"/>
    <col min="6913" max="6914" width="8.5" style="146" bestFit="1" customWidth="1"/>
    <col min="6915" max="6915" width="6" style="146" bestFit="1" customWidth="1"/>
    <col min="6916" max="6916" width="8.83203125" style="146" customWidth="1"/>
    <col min="6917" max="6917" width="8.5" style="146" bestFit="1" customWidth="1"/>
    <col min="6918" max="6918" width="7.1640625" style="146" bestFit="1" customWidth="1"/>
    <col min="6919" max="6919" width="4.5" style="146" bestFit="1" customWidth="1"/>
    <col min="6920" max="6920" width="5.5" style="146" bestFit="1" customWidth="1"/>
    <col min="6921" max="6923" width="6.1640625" style="146" bestFit="1" customWidth="1"/>
    <col min="6924" max="6924" width="7.1640625" style="146" bestFit="1" customWidth="1"/>
    <col min="6925" max="6934" width="8.83203125" style="146" customWidth="1"/>
    <col min="6935" max="6935" width="10" style="146" bestFit="1" customWidth="1"/>
    <col min="6936" max="7159" width="8.83203125" style="146" customWidth="1"/>
    <col min="7160" max="7160" width="7.83203125" style="146" customWidth="1"/>
    <col min="7161" max="7161" width="7.5" style="146" customWidth="1"/>
    <col min="7162" max="7162" width="9" style="146" customWidth="1"/>
    <col min="7163" max="7163" width="8.33203125" style="146" customWidth="1"/>
    <col min="7164" max="7166" width="8.5" style="146" bestFit="1" customWidth="1"/>
    <col min="7167" max="7167" width="10" style="146" bestFit="1" customWidth="1"/>
    <col min="7168" max="7168" width="8.1640625" style="146" bestFit="1" customWidth="1"/>
    <col min="7169" max="7170" width="8.5" style="146" bestFit="1" customWidth="1"/>
    <col min="7171" max="7171" width="6" style="146" bestFit="1" customWidth="1"/>
    <col min="7172" max="7172" width="8.83203125" style="146" customWidth="1"/>
    <col min="7173" max="7173" width="8.5" style="146" bestFit="1" customWidth="1"/>
    <col min="7174" max="7174" width="7.1640625" style="146" bestFit="1" customWidth="1"/>
    <col min="7175" max="7175" width="4.5" style="146" bestFit="1" customWidth="1"/>
    <col min="7176" max="7176" width="5.5" style="146" bestFit="1" customWidth="1"/>
    <col min="7177" max="7179" width="6.1640625" style="146" bestFit="1" customWidth="1"/>
    <col min="7180" max="7180" width="7.1640625" style="146" bestFit="1" customWidth="1"/>
    <col min="7181" max="7190" width="8.83203125" style="146" customWidth="1"/>
    <col min="7191" max="7191" width="10" style="146" bestFit="1" customWidth="1"/>
    <col min="7192" max="7415" width="8.83203125" style="146" customWidth="1"/>
    <col min="7416" max="7416" width="7.83203125" style="146" customWidth="1"/>
    <col min="7417" max="7417" width="7.5" style="146" customWidth="1"/>
    <col min="7418" max="7418" width="9" style="146" customWidth="1"/>
    <col min="7419" max="7419" width="8.33203125" style="146" customWidth="1"/>
    <col min="7420" max="7422" width="8.5" style="146" bestFit="1" customWidth="1"/>
    <col min="7423" max="7423" width="10" style="146" bestFit="1" customWidth="1"/>
    <col min="7424" max="7424" width="8.1640625" style="146" bestFit="1" customWidth="1"/>
    <col min="7425" max="7426" width="8.5" style="146" bestFit="1" customWidth="1"/>
    <col min="7427" max="7427" width="6" style="146" bestFit="1" customWidth="1"/>
    <col min="7428" max="7428" width="8.83203125" style="146" customWidth="1"/>
    <col min="7429" max="7429" width="8.5" style="146" bestFit="1" customWidth="1"/>
    <col min="7430" max="7430" width="7.1640625" style="146" bestFit="1" customWidth="1"/>
    <col min="7431" max="7431" width="4.5" style="146" bestFit="1" customWidth="1"/>
    <col min="7432" max="7432" width="5.5" style="146" bestFit="1" customWidth="1"/>
    <col min="7433" max="7435" width="6.1640625" style="146" bestFit="1" customWidth="1"/>
    <col min="7436" max="7436" width="7.1640625" style="146" bestFit="1" customWidth="1"/>
    <col min="7437" max="7446" width="8.83203125" style="146" customWidth="1"/>
    <col min="7447" max="7447" width="10" style="146" bestFit="1" customWidth="1"/>
    <col min="7448" max="7671" width="8.83203125" style="146" customWidth="1"/>
    <col min="7672" max="7672" width="7.83203125" style="146" customWidth="1"/>
    <col min="7673" max="7673" width="7.5" style="146" customWidth="1"/>
    <col min="7674" max="7674" width="9" style="146" customWidth="1"/>
    <col min="7675" max="7675" width="8.33203125" style="146" customWidth="1"/>
    <col min="7676" max="7678" width="8.5" style="146" bestFit="1" customWidth="1"/>
    <col min="7679" max="7679" width="10" style="146" bestFit="1" customWidth="1"/>
    <col min="7680" max="7680" width="8.1640625" style="146" bestFit="1" customWidth="1"/>
    <col min="7681" max="7682" width="8.5" style="146" bestFit="1" customWidth="1"/>
    <col min="7683" max="7683" width="6" style="146" bestFit="1" customWidth="1"/>
    <col min="7684" max="7684" width="8.83203125" style="146" customWidth="1"/>
    <col min="7685" max="7685" width="8.5" style="146" bestFit="1" customWidth="1"/>
    <col min="7686" max="7686" width="7.1640625" style="146" bestFit="1" customWidth="1"/>
    <col min="7687" max="7687" width="4.5" style="146" bestFit="1" customWidth="1"/>
    <col min="7688" max="7688" width="5.5" style="146" bestFit="1" customWidth="1"/>
    <col min="7689" max="7691" width="6.1640625" style="146" bestFit="1" customWidth="1"/>
    <col min="7692" max="7692" width="7.1640625" style="146" bestFit="1" customWidth="1"/>
    <col min="7693" max="7702" width="8.83203125" style="146" customWidth="1"/>
    <col min="7703" max="7703" width="10" style="146" bestFit="1" customWidth="1"/>
    <col min="7704" max="7927" width="8.83203125" style="146" customWidth="1"/>
    <col min="7928" max="7928" width="7.83203125" style="146" customWidth="1"/>
    <col min="7929" max="7929" width="7.5" style="146" customWidth="1"/>
    <col min="7930" max="7930" width="9" style="146" customWidth="1"/>
    <col min="7931" max="7931" width="8.33203125" style="146" customWidth="1"/>
    <col min="7932" max="7934" width="8.5" style="146" bestFit="1" customWidth="1"/>
    <col min="7935" max="7935" width="10" style="146" bestFit="1" customWidth="1"/>
    <col min="7936" max="7936" width="8.1640625" style="146" bestFit="1" customWidth="1"/>
    <col min="7937" max="7938" width="8.5" style="146" bestFit="1" customWidth="1"/>
    <col min="7939" max="7939" width="6" style="146" bestFit="1" customWidth="1"/>
    <col min="7940" max="7940" width="8.83203125" style="146" customWidth="1"/>
    <col min="7941" max="7941" width="8.5" style="146" bestFit="1" customWidth="1"/>
    <col min="7942" max="7942" width="7.1640625" style="146" bestFit="1" customWidth="1"/>
    <col min="7943" max="7943" width="4.5" style="146" bestFit="1" customWidth="1"/>
    <col min="7944" max="7944" width="5.5" style="146" bestFit="1" customWidth="1"/>
    <col min="7945" max="7947" width="6.1640625" style="146" bestFit="1" customWidth="1"/>
    <col min="7948" max="7948" width="7.1640625" style="146" bestFit="1" customWidth="1"/>
    <col min="7949" max="7958" width="8.83203125" style="146" customWidth="1"/>
    <col min="7959" max="7959" width="10" style="146" bestFit="1" customWidth="1"/>
    <col min="7960" max="8183" width="8.83203125" style="146" customWidth="1"/>
    <col min="8184" max="8184" width="7.83203125" style="146" customWidth="1"/>
    <col min="8185" max="8185" width="7.5" style="146" customWidth="1"/>
    <col min="8186" max="8186" width="9" style="146" customWidth="1"/>
    <col min="8187" max="8187" width="8.33203125" style="146" customWidth="1"/>
    <col min="8188" max="8190" width="8.5" style="146" bestFit="1" customWidth="1"/>
    <col min="8191" max="8191" width="10" style="146" bestFit="1" customWidth="1"/>
    <col min="8192" max="8192" width="8.1640625" style="146" bestFit="1" customWidth="1"/>
    <col min="8193" max="8194" width="8.5" style="146" bestFit="1" customWidth="1"/>
    <col min="8195" max="8195" width="6" style="146" bestFit="1" customWidth="1"/>
    <col min="8196" max="8196" width="8.83203125" style="146" customWidth="1"/>
    <col min="8197" max="8197" width="8.5" style="146" bestFit="1" customWidth="1"/>
    <col min="8198" max="8198" width="7.1640625" style="146" bestFit="1" customWidth="1"/>
    <col min="8199" max="8199" width="4.5" style="146" bestFit="1" customWidth="1"/>
    <col min="8200" max="8200" width="5.5" style="146" bestFit="1" customWidth="1"/>
    <col min="8201" max="8203" width="6.1640625" style="146" bestFit="1" customWidth="1"/>
    <col min="8204" max="8204" width="7.1640625" style="146" bestFit="1" customWidth="1"/>
    <col min="8205" max="8214" width="8.83203125" style="146" customWidth="1"/>
    <col min="8215" max="8215" width="10" style="146" bestFit="1" customWidth="1"/>
    <col min="8216" max="8439" width="8.83203125" style="146" customWidth="1"/>
    <col min="8440" max="8440" width="7.83203125" style="146" customWidth="1"/>
    <col min="8441" max="8441" width="7.5" style="146" customWidth="1"/>
    <col min="8442" max="8442" width="9" style="146" customWidth="1"/>
    <col min="8443" max="8443" width="8.33203125" style="146" customWidth="1"/>
    <col min="8444" max="8446" width="8.5" style="146" bestFit="1" customWidth="1"/>
    <col min="8447" max="8447" width="10" style="146" bestFit="1" customWidth="1"/>
    <col min="8448" max="8448" width="8.1640625" style="146" bestFit="1" customWidth="1"/>
    <col min="8449" max="8450" width="8.5" style="146" bestFit="1" customWidth="1"/>
    <col min="8451" max="8451" width="6" style="146" bestFit="1" customWidth="1"/>
    <col min="8452" max="8452" width="8.83203125" style="146" customWidth="1"/>
    <col min="8453" max="8453" width="8.5" style="146" bestFit="1" customWidth="1"/>
    <col min="8454" max="8454" width="7.1640625" style="146" bestFit="1" customWidth="1"/>
    <col min="8455" max="8455" width="4.5" style="146" bestFit="1" customWidth="1"/>
    <col min="8456" max="8456" width="5.5" style="146" bestFit="1" customWidth="1"/>
    <col min="8457" max="8459" width="6.1640625" style="146" bestFit="1" customWidth="1"/>
    <col min="8460" max="8460" width="7.1640625" style="146" bestFit="1" customWidth="1"/>
    <col min="8461" max="8470" width="8.83203125" style="146" customWidth="1"/>
    <col min="8471" max="8471" width="10" style="146" bestFit="1" customWidth="1"/>
    <col min="8472" max="8695" width="8.83203125" style="146" customWidth="1"/>
    <col min="8696" max="8696" width="7.83203125" style="146" customWidth="1"/>
    <col min="8697" max="8697" width="7.5" style="146" customWidth="1"/>
    <col min="8698" max="8698" width="9" style="146" customWidth="1"/>
    <col min="8699" max="8699" width="8.33203125" style="146" customWidth="1"/>
    <col min="8700" max="8702" width="8.5" style="146" bestFit="1" customWidth="1"/>
    <col min="8703" max="8703" width="10" style="146" bestFit="1" customWidth="1"/>
    <col min="8704" max="8704" width="8.1640625" style="146" bestFit="1" customWidth="1"/>
    <col min="8705" max="8706" width="8.5" style="146" bestFit="1" customWidth="1"/>
    <col min="8707" max="8707" width="6" style="146" bestFit="1" customWidth="1"/>
    <col min="8708" max="8708" width="8.83203125" style="146" customWidth="1"/>
    <col min="8709" max="8709" width="8.5" style="146" bestFit="1" customWidth="1"/>
    <col min="8710" max="8710" width="7.1640625" style="146" bestFit="1" customWidth="1"/>
    <col min="8711" max="8711" width="4.5" style="146" bestFit="1" customWidth="1"/>
    <col min="8712" max="8712" width="5.5" style="146" bestFit="1" customWidth="1"/>
    <col min="8713" max="8715" width="6.1640625" style="146" bestFit="1" customWidth="1"/>
    <col min="8716" max="8716" width="7.1640625" style="146" bestFit="1" customWidth="1"/>
    <col min="8717" max="8726" width="8.83203125" style="146" customWidth="1"/>
    <col min="8727" max="8727" width="10" style="146" bestFit="1" customWidth="1"/>
    <col min="8728" max="8951" width="8.83203125" style="146" customWidth="1"/>
    <col min="8952" max="8952" width="7.83203125" style="146" customWidth="1"/>
    <col min="8953" max="8953" width="7.5" style="146" customWidth="1"/>
    <col min="8954" max="8954" width="9" style="146" customWidth="1"/>
    <col min="8955" max="8955" width="8.33203125" style="146" customWidth="1"/>
    <col min="8956" max="8958" width="8.5" style="146" bestFit="1" customWidth="1"/>
    <col min="8959" max="8959" width="10" style="146" bestFit="1" customWidth="1"/>
    <col min="8960" max="8960" width="8.1640625" style="146" bestFit="1" customWidth="1"/>
    <col min="8961" max="8962" width="8.5" style="146" bestFit="1" customWidth="1"/>
    <col min="8963" max="8963" width="6" style="146" bestFit="1" customWidth="1"/>
    <col min="8964" max="8964" width="8.83203125" style="146" customWidth="1"/>
    <col min="8965" max="8965" width="8.5" style="146" bestFit="1" customWidth="1"/>
    <col min="8966" max="8966" width="7.1640625" style="146" bestFit="1" customWidth="1"/>
    <col min="8967" max="8967" width="4.5" style="146" bestFit="1" customWidth="1"/>
    <col min="8968" max="8968" width="5.5" style="146" bestFit="1" customWidth="1"/>
    <col min="8969" max="8971" width="6.1640625" style="146" bestFit="1" customWidth="1"/>
    <col min="8972" max="8972" width="7.1640625" style="146" bestFit="1" customWidth="1"/>
    <col min="8973" max="8982" width="8.83203125" style="146" customWidth="1"/>
    <col min="8983" max="8983" width="10" style="146" bestFit="1" customWidth="1"/>
    <col min="8984" max="9207" width="8.83203125" style="146" customWidth="1"/>
    <col min="9208" max="9208" width="7.83203125" style="146" customWidth="1"/>
    <col min="9209" max="9209" width="7.5" style="146" customWidth="1"/>
    <col min="9210" max="9210" width="9" style="146" customWidth="1"/>
    <col min="9211" max="9211" width="8.33203125" style="146" customWidth="1"/>
    <col min="9212" max="9214" width="8.5" style="146" bestFit="1" customWidth="1"/>
    <col min="9215" max="9215" width="10" style="146" bestFit="1" customWidth="1"/>
    <col min="9216" max="9216" width="8.1640625" style="146" bestFit="1" customWidth="1"/>
    <col min="9217" max="9218" width="8.5" style="146" bestFit="1" customWidth="1"/>
    <col min="9219" max="9219" width="6" style="146" bestFit="1" customWidth="1"/>
    <col min="9220" max="9220" width="8.83203125" style="146" customWidth="1"/>
    <col min="9221" max="9221" width="8.5" style="146" bestFit="1" customWidth="1"/>
    <col min="9222" max="9222" width="7.1640625" style="146" bestFit="1" customWidth="1"/>
    <col min="9223" max="9223" width="4.5" style="146" bestFit="1" customWidth="1"/>
    <col min="9224" max="9224" width="5.5" style="146" bestFit="1" customWidth="1"/>
    <col min="9225" max="9227" width="6.1640625" style="146" bestFit="1" customWidth="1"/>
    <col min="9228" max="9228" width="7.1640625" style="146" bestFit="1" customWidth="1"/>
    <col min="9229" max="9238" width="8.83203125" style="146" customWidth="1"/>
    <col min="9239" max="9239" width="10" style="146" bestFit="1" customWidth="1"/>
    <col min="9240" max="9463" width="8.83203125" style="146" customWidth="1"/>
    <col min="9464" max="9464" width="7.83203125" style="146" customWidth="1"/>
    <col min="9465" max="9465" width="7.5" style="146" customWidth="1"/>
    <col min="9466" max="9466" width="9" style="146" customWidth="1"/>
    <col min="9467" max="9467" width="8.33203125" style="146" customWidth="1"/>
    <col min="9468" max="9470" width="8.5" style="146" bestFit="1" customWidth="1"/>
    <col min="9471" max="9471" width="10" style="146" bestFit="1" customWidth="1"/>
    <col min="9472" max="9472" width="8.1640625" style="146" bestFit="1" customWidth="1"/>
    <col min="9473" max="9474" width="8.5" style="146" bestFit="1" customWidth="1"/>
    <col min="9475" max="9475" width="6" style="146" bestFit="1" customWidth="1"/>
    <col min="9476" max="9476" width="8.83203125" style="146" customWidth="1"/>
    <col min="9477" max="9477" width="8.5" style="146" bestFit="1" customWidth="1"/>
    <col min="9478" max="9478" width="7.1640625" style="146" bestFit="1" customWidth="1"/>
    <col min="9479" max="9479" width="4.5" style="146" bestFit="1" customWidth="1"/>
    <col min="9480" max="9480" width="5.5" style="146" bestFit="1" customWidth="1"/>
    <col min="9481" max="9483" width="6.1640625" style="146" bestFit="1" customWidth="1"/>
    <col min="9484" max="9484" width="7.1640625" style="146" bestFit="1" customWidth="1"/>
    <col min="9485" max="9494" width="8.83203125" style="146" customWidth="1"/>
    <col min="9495" max="9495" width="10" style="146" bestFit="1" customWidth="1"/>
    <col min="9496" max="9719" width="8.83203125" style="146" customWidth="1"/>
    <col min="9720" max="9720" width="7.83203125" style="146" customWidth="1"/>
    <col min="9721" max="9721" width="7.5" style="146" customWidth="1"/>
    <col min="9722" max="9722" width="9" style="146" customWidth="1"/>
    <col min="9723" max="9723" width="8.33203125" style="146" customWidth="1"/>
    <col min="9724" max="9726" width="8.5" style="146" bestFit="1" customWidth="1"/>
    <col min="9727" max="9727" width="10" style="146" bestFit="1" customWidth="1"/>
    <col min="9728" max="9728" width="8.1640625" style="146" bestFit="1" customWidth="1"/>
    <col min="9729" max="9730" width="8.5" style="146" bestFit="1" customWidth="1"/>
    <col min="9731" max="9731" width="6" style="146" bestFit="1" customWidth="1"/>
    <col min="9732" max="9732" width="8.83203125" style="146" customWidth="1"/>
    <col min="9733" max="9733" width="8.5" style="146" bestFit="1" customWidth="1"/>
    <col min="9734" max="9734" width="7.1640625" style="146" bestFit="1" customWidth="1"/>
    <col min="9735" max="9735" width="4.5" style="146" bestFit="1" customWidth="1"/>
    <col min="9736" max="9736" width="5.5" style="146" bestFit="1" customWidth="1"/>
    <col min="9737" max="9739" width="6.1640625" style="146" bestFit="1" customWidth="1"/>
    <col min="9740" max="9740" width="7.1640625" style="146" bestFit="1" customWidth="1"/>
    <col min="9741" max="9750" width="8.83203125" style="146" customWidth="1"/>
    <col min="9751" max="9751" width="10" style="146" bestFit="1" customWidth="1"/>
    <col min="9752" max="9975" width="8.83203125" style="146" customWidth="1"/>
    <col min="9976" max="9976" width="7.83203125" style="146" customWidth="1"/>
    <col min="9977" max="9977" width="7.5" style="146" customWidth="1"/>
    <col min="9978" max="9978" width="9" style="146" customWidth="1"/>
    <col min="9979" max="9979" width="8.33203125" style="146" customWidth="1"/>
    <col min="9980" max="9982" width="8.5" style="146" bestFit="1" customWidth="1"/>
    <col min="9983" max="9983" width="10" style="146" bestFit="1" customWidth="1"/>
    <col min="9984" max="9984" width="8.1640625" style="146" bestFit="1" customWidth="1"/>
    <col min="9985" max="9986" width="8.5" style="146" bestFit="1" customWidth="1"/>
    <col min="9987" max="9987" width="6" style="146" bestFit="1" customWidth="1"/>
    <col min="9988" max="9988" width="8.83203125" style="146" customWidth="1"/>
    <col min="9989" max="9989" width="8.5" style="146" bestFit="1" customWidth="1"/>
    <col min="9990" max="9990" width="7.1640625" style="146" bestFit="1" customWidth="1"/>
    <col min="9991" max="9991" width="4.5" style="146" bestFit="1" customWidth="1"/>
    <col min="9992" max="9992" width="5.5" style="146" bestFit="1" customWidth="1"/>
    <col min="9993" max="9995" width="6.1640625" style="146" bestFit="1" customWidth="1"/>
    <col min="9996" max="9996" width="7.1640625" style="146" bestFit="1" customWidth="1"/>
    <col min="9997" max="10006" width="8.83203125" style="146" customWidth="1"/>
    <col min="10007" max="10007" width="10" style="146" bestFit="1" customWidth="1"/>
    <col min="10008" max="10231" width="8.83203125" style="146" customWidth="1"/>
    <col min="10232" max="10232" width="7.83203125" style="146" customWidth="1"/>
    <col min="10233" max="10233" width="7.5" style="146" customWidth="1"/>
    <col min="10234" max="10234" width="9" style="146" customWidth="1"/>
    <col min="10235" max="10235" width="8.33203125" style="146" customWidth="1"/>
    <col min="10236" max="10238" width="8.5" style="146" bestFit="1" customWidth="1"/>
    <col min="10239" max="10239" width="10" style="146" bestFit="1" customWidth="1"/>
    <col min="10240" max="10240" width="8.1640625" style="146" bestFit="1" customWidth="1"/>
    <col min="10241" max="10242" width="8.5" style="146" bestFit="1" customWidth="1"/>
    <col min="10243" max="10243" width="6" style="146" bestFit="1" customWidth="1"/>
    <col min="10244" max="10244" width="8.83203125" style="146" customWidth="1"/>
    <col min="10245" max="10245" width="8.5" style="146" bestFit="1" customWidth="1"/>
    <col min="10246" max="10246" width="7.1640625" style="146" bestFit="1" customWidth="1"/>
    <col min="10247" max="10247" width="4.5" style="146" bestFit="1" customWidth="1"/>
    <col min="10248" max="10248" width="5.5" style="146" bestFit="1" customWidth="1"/>
    <col min="10249" max="10251" width="6.1640625" style="146" bestFit="1" customWidth="1"/>
    <col min="10252" max="10252" width="7.1640625" style="146" bestFit="1" customWidth="1"/>
    <col min="10253" max="10262" width="8.83203125" style="146" customWidth="1"/>
    <col min="10263" max="10263" width="10" style="146" bestFit="1" customWidth="1"/>
    <col min="10264" max="10487" width="8.83203125" style="146" customWidth="1"/>
    <col min="10488" max="10488" width="7.83203125" style="146" customWidth="1"/>
    <col min="10489" max="10489" width="7.5" style="146" customWidth="1"/>
    <col min="10490" max="10490" width="9" style="146" customWidth="1"/>
    <col min="10491" max="10491" width="8.33203125" style="146" customWidth="1"/>
    <col min="10492" max="10494" width="8.5" style="146" bestFit="1" customWidth="1"/>
    <col min="10495" max="10495" width="10" style="146" bestFit="1" customWidth="1"/>
    <col min="10496" max="10496" width="8.1640625" style="146" bestFit="1" customWidth="1"/>
    <col min="10497" max="10498" width="8.5" style="146" bestFit="1" customWidth="1"/>
    <col min="10499" max="10499" width="6" style="146" bestFit="1" customWidth="1"/>
    <col min="10500" max="10500" width="8.83203125" style="146" customWidth="1"/>
    <col min="10501" max="10501" width="8.5" style="146" bestFit="1" customWidth="1"/>
    <col min="10502" max="10502" width="7.1640625" style="146" bestFit="1" customWidth="1"/>
    <col min="10503" max="10503" width="4.5" style="146" bestFit="1" customWidth="1"/>
    <col min="10504" max="10504" width="5.5" style="146" bestFit="1" customWidth="1"/>
    <col min="10505" max="10507" width="6.1640625" style="146" bestFit="1" customWidth="1"/>
    <col min="10508" max="10508" width="7.1640625" style="146" bestFit="1" customWidth="1"/>
    <col min="10509" max="10518" width="8.83203125" style="146" customWidth="1"/>
    <col min="10519" max="10519" width="10" style="146" bestFit="1" customWidth="1"/>
    <col min="10520" max="10743" width="8.83203125" style="146" customWidth="1"/>
    <col min="10744" max="10744" width="7.83203125" style="146" customWidth="1"/>
    <col min="10745" max="10745" width="7.5" style="146" customWidth="1"/>
    <col min="10746" max="10746" width="9" style="146" customWidth="1"/>
    <col min="10747" max="10747" width="8.33203125" style="146" customWidth="1"/>
    <col min="10748" max="10750" width="8.5" style="146" bestFit="1" customWidth="1"/>
    <col min="10751" max="10751" width="10" style="146" bestFit="1" customWidth="1"/>
    <col min="10752" max="10752" width="8.1640625" style="146" bestFit="1" customWidth="1"/>
    <col min="10753" max="10754" width="8.5" style="146" bestFit="1" customWidth="1"/>
    <col min="10755" max="10755" width="6" style="146" bestFit="1" customWidth="1"/>
    <col min="10756" max="10756" width="8.83203125" style="146" customWidth="1"/>
    <col min="10757" max="10757" width="8.5" style="146" bestFit="1" customWidth="1"/>
    <col min="10758" max="10758" width="7.1640625" style="146" bestFit="1" customWidth="1"/>
    <col min="10759" max="10759" width="4.5" style="146" bestFit="1" customWidth="1"/>
    <col min="10760" max="10760" width="5.5" style="146" bestFit="1" customWidth="1"/>
    <col min="10761" max="10763" width="6.1640625" style="146" bestFit="1" customWidth="1"/>
    <col min="10764" max="10764" width="7.1640625" style="146" bestFit="1" customWidth="1"/>
    <col min="10765" max="10774" width="8.83203125" style="146" customWidth="1"/>
    <col min="10775" max="10775" width="10" style="146" bestFit="1" customWidth="1"/>
    <col min="10776" max="10999" width="8.83203125" style="146" customWidth="1"/>
    <col min="11000" max="11000" width="7.83203125" style="146" customWidth="1"/>
    <col min="11001" max="11001" width="7.5" style="146" customWidth="1"/>
    <col min="11002" max="11002" width="9" style="146" customWidth="1"/>
    <col min="11003" max="11003" width="8.33203125" style="146" customWidth="1"/>
    <col min="11004" max="11006" width="8.5" style="146" bestFit="1" customWidth="1"/>
    <col min="11007" max="11007" width="10" style="146" bestFit="1" customWidth="1"/>
    <col min="11008" max="11008" width="8.1640625" style="146" bestFit="1" customWidth="1"/>
    <col min="11009" max="11010" width="8.5" style="146" bestFit="1" customWidth="1"/>
    <col min="11011" max="11011" width="6" style="146" bestFit="1" customWidth="1"/>
    <col min="11012" max="11012" width="8.83203125" style="146" customWidth="1"/>
    <col min="11013" max="11013" width="8.5" style="146" bestFit="1" customWidth="1"/>
    <col min="11014" max="11014" width="7.1640625" style="146" bestFit="1" customWidth="1"/>
    <col min="11015" max="11015" width="4.5" style="146" bestFit="1" customWidth="1"/>
    <col min="11016" max="11016" width="5.5" style="146" bestFit="1" customWidth="1"/>
    <col min="11017" max="11019" width="6.1640625" style="146" bestFit="1" customWidth="1"/>
    <col min="11020" max="11020" width="7.1640625" style="146" bestFit="1" customWidth="1"/>
    <col min="11021" max="11030" width="8.83203125" style="146" customWidth="1"/>
    <col min="11031" max="11031" width="10" style="146" bestFit="1" customWidth="1"/>
    <col min="11032" max="11255" width="8.83203125" style="146" customWidth="1"/>
    <col min="11256" max="11256" width="7.83203125" style="146" customWidth="1"/>
    <col min="11257" max="11257" width="7.5" style="146" customWidth="1"/>
    <col min="11258" max="11258" width="9" style="146" customWidth="1"/>
    <col min="11259" max="11259" width="8.33203125" style="146" customWidth="1"/>
    <col min="11260" max="11262" width="8.5" style="146" bestFit="1" customWidth="1"/>
    <col min="11263" max="11263" width="10" style="146" bestFit="1" customWidth="1"/>
    <col min="11264" max="11264" width="8.1640625" style="146" bestFit="1" customWidth="1"/>
    <col min="11265" max="11266" width="8.5" style="146" bestFit="1" customWidth="1"/>
    <col min="11267" max="11267" width="6" style="146" bestFit="1" customWidth="1"/>
    <col min="11268" max="11268" width="8.83203125" style="146" customWidth="1"/>
    <col min="11269" max="11269" width="8.5" style="146" bestFit="1" customWidth="1"/>
    <col min="11270" max="11270" width="7.1640625" style="146" bestFit="1" customWidth="1"/>
    <col min="11271" max="11271" width="4.5" style="146" bestFit="1" customWidth="1"/>
    <col min="11272" max="11272" width="5.5" style="146" bestFit="1" customWidth="1"/>
    <col min="11273" max="11275" width="6.1640625" style="146" bestFit="1" customWidth="1"/>
    <col min="11276" max="11276" width="7.1640625" style="146" bestFit="1" customWidth="1"/>
    <col min="11277" max="11286" width="8.83203125" style="146" customWidth="1"/>
    <col min="11287" max="11287" width="10" style="146" bestFit="1" customWidth="1"/>
    <col min="11288" max="11511" width="8.83203125" style="146" customWidth="1"/>
    <col min="11512" max="11512" width="7.83203125" style="146" customWidth="1"/>
    <col min="11513" max="11513" width="7.5" style="146" customWidth="1"/>
    <col min="11514" max="11514" width="9" style="146" customWidth="1"/>
    <col min="11515" max="11515" width="8.33203125" style="146" customWidth="1"/>
    <col min="11516" max="11518" width="8.5" style="146" bestFit="1" customWidth="1"/>
    <col min="11519" max="11519" width="10" style="146" bestFit="1" customWidth="1"/>
    <col min="11520" max="11520" width="8.1640625" style="146" bestFit="1" customWidth="1"/>
    <col min="11521" max="11522" width="8.5" style="146" bestFit="1" customWidth="1"/>
    <col min="11523" max="11523" width="6" style="146" bestFit="1" customWidth="1"/>
    <col min="11524" max="11524" width="8.83203125" style="146" customWidth="1"/>
    <col min="11525" max="11525" width="8.5" style="146" bestFit="1" customWidth="1"/>
    <col min="11526" max="11526" width="7.1640625" style="146" bestFit="1" customWidth="1"/>
    <col min="11527" max="11527" width="4.5" style="146" bestFit="1" customWidth="1"/>
    <col min="11528" max="11528" width="5.5" style="146" bestFit="1" customWidth="1"/>
    <col min="11529" max="11531" width="6.1640625" style="146" bestFit="1" customWidth="1"/>
    <col min="11532" max="11532" width="7.1640625" style="146" bestFit="1" customWidth="1"/>
    <col min="11533" max="11542" width="8.83203125" style="146" customWidth="1"/>
    <col min="11543" max="11543" width="10" style="146" bestFit="1" customWidth="1"/>
    <col min="11544" max="11767" width="8.83203125" style="146" customWidth="1"/>
    <col min="11768" max="11768" width="7.83203125" style="146" customWidth="1"/>
    <col min="11769" max="11769" width="7.5" style="146" customWidth="1"/>
    <col min="11770" max="11770" width="9" style="146" customWidth="1"/>
    <col min="11771" max="11771" width="8.33203125" style="146" customWidth="1"/>
    <col min="11772" max="11774" width="8.5" style="146" bestFit="1" customWidth="1"/>
    <col min="11775" max="11775" width="10" style="146" bestFit="1" customWidth="1"/>
    <col min="11776" max="11776" width="8.1640625" style="146" bestFit="1" customWidth="1"/>
    <col min="11777" max="11778" width="8.5" style="146" bestFit="1" customWidth="1"/>
    <col min="11779" max="11779" width="6" style="146" bestFit="1" customWidth="1"/>
    <col min="11780" max="11780" width="8.83203125" style="146" customWidth="1"/>
    <col min="11781" max="11781" width="8.5" style="146" bestFit="1" customWidth="1"/>
    <col min="11782" max="11782" width="7.1640625" style="146" bestFit="1" customWidth="1"/>
    <col min="11783" max="11783" width="4.5" style="146" bestFit="1" customWidth="1"/>
    <col min="11784" max="11784" width="5.5" style="146" bestFit="1" customWidth="1"/>
    <col min="11785" max="11787" width="6.1640625" style="146" bestFit="1" customWidth="1"/>
    <col min="11788" max="11788" width="7.1640625" style="146" bestFit="1" customWidth="1"/>
    <col min="11789" max="11798" width="8.83203125" style="146" customWidth="1"/>
    <col min="11799" max="11799" width="10" style="146" bestFit="1" customWidth="1"/>
    <col min="11800" max="12023" width="8.83203125" style="146" customWidth="1"/>
    <col min="12024" max="12024" width="7.83203125" style="146" customWidth="1"/>
    <col min="12025" max="12025" width="7.5" style="146" customWidth="1"/>
    <col min="12026" max="12026" width="9" style="146" customWidth="1"/>
    <col min="12027" max="12027" width="8.33203125" style="146" customWidth="1"/>
    <col min="12028" max="12030" width="8.5" style="146" bestFit="1" customWidth="1"/>
    <col min="12031" max="12031" width="10" style="146" bestFit="1" customWidth="1"/>
    <col min="12032" max="12032" width="8.1640625" style="146" bestFit="1" customWidth="1"/>
    <col min="12033" max="12034" width="8.5" style="146" bestFit="1" customWidth="1"/>
    <col min="12035" max="12035" width="6" style="146" bestFit="1" customWidth="1"/>
    <col min="12036" max="12036" width="8.83203125" style="146" customWidth="1"/>
    <col min="12037" max="12037" width="8.5" style="146" bestFit="1" customWidth="1"/>
    <col min="12038" max="12038" width="7.1640625" style="146" bestFit="1" customWidth="1"/>
    <col min="12039" max="12039" width="4.5" style="146" bestFit="1" customWidth="1"/>
    <col min="12040" max="12040" width="5.5" style="146" bestFit="1" customWidth="1"/>
    <col min="12041" max="12043" width="6.1640625" style="146" bestFit="1" customWidth="1"/>
    <col min="12044" max="12044" width="7.1640625" style="146" bestFit="1" customWidth="1"/>
    <col min="12045" max="12054" width="8.83203125" style="146" customWidth="1"/>
    <col min="12055" max="12055" width="10" style="146" bestFit="1" customWidth="1"/>
    <col min="12056" max="12279" width="8.83203125" style="146" customWidth="1"/>
    <col min="12280" max="12280" width="7.83203125" style="146" customWidth="1"/>
    <col min="12281" max="12281" width="7.5" style="146" customWidth="1"/>
    <col min="12282" max="12282" width="9" style="146" customWidth="1"/>
    <col min="12283" max="12283" width="8.33203125" style="146" customWidth="1"/>
    <col min="12284" max="12286" width="8.5" style="146" bestFit="1" customWidth="1"/>
    <col min="12287" max="12287" width="10" style="146" bestFit="1" customWidth="1"/>
    <col min="12288" max="12288" width="8.1640625" style="146" bestFit="1" customWidth="1"/>
    <col min="12289" max="12290" width="8.5" style="146" bestFit="1" customWidth="1"/>
    <col min="12291" max="12291" width="6" style="146" bestFit="1" customWidth="1"/>
    <col min="12292" max="12292" width="8.83203125" style="146" customWidth="1"/>
    <col min="12293" max="12293" width="8.5" style="146" bestFit="1" customWidth="1"/>
    <col min="12294" max="12294" width="7.1640625" style="146" bestFit="1" customWidth="1"/>
    <col min="12295" max="12295" width="4.5" style="146" bestFit="1" customWidth="1"/>
    <col min="12296" max="12296" width="5.5" style="146" bestFit="1" customWidth="1"/>
    <col min="12297" max="12299" width="6.1640625" style="146" bestFit="1" customWidth="1"/>
    <col min="12300" max="12300" width="7.1640625" style="146" bestFit="1" customWidth="1"/>
    <col min="12301" max="12310" width="8.83203125" style="146" customWidth="1"/>
    <col min="12311" max="12311" width="10" style="146" bestFit="1" customWidth="1"/>
    <col min="12312" max="12535" width="8.83203125" style="146" customWidth="1"/>
    <col min="12536" max="12536" width="7.83203125" style="146" customWidth="1"/>
    <col min="12537" max="12537" width="7.5" style="146" customWidth="1"/>
    <col min="12538" max="12538" width="9" style="146" customWidth="1"/>
    <col min="12539" max="12539" width="8.33203125" style="146" customWidth="1"/>
    <col min="12540" max="12542" width="8.5" style="146" bestFit="1" customWidth="1"/>
    <col min="12543" max="12543" width="10" style="146" bestFit="1" customWidth="1"/>
    <col min="12544" max="12544" width="8.1640625" style="146" bestFit="1" customWidth="1"/>
    <col min="12545" max="12546" width="8.5" style="146" bestFit="1" customWidth="1"/>
    <col min="12547" max="12547" width="6" style="146" bestFit="1" customWidth="1"/>
    <col min="12548" max="12548" width="8.83203125" style="146" customWidth="1"/>
    <col min="12549" max="12549" width="8.5" style="146" bestFit="1" customWidth="1"/>
    <col min="12550" max="12550" width="7.1640625" style="146" bestFit="1" customWidth="1"/>
    <col min="12551" max="12551" width="4.5" style="146" bestFit="1" customWidth="1"/>
    <col min="12552" max="12552" width="5.5" style="146" bestFit="1" customWidth="1"/>
    <col min="12553" max="12555" width="6.1640625" style="146" bestFit="1" customWidth="1"/>
    <col min="12556" max="12556" width="7.1640625" style="146" bestFit="1" customWidth="1"/>
    <col min="12557" max="12566" width="8.83203125" style="146" customWidth="1"/>
    <col min="12567" max="12567" width="10" style="146" bestFit="1" customWidth="1"/>
    <col min="12568" max="12791" width="8.83203125" style="146" customWidth="1"/>
    <col min="12792" max="12792" width="7.83203125" style="146" customWidth="1"/>
    <col min="12793" max="12793" width="7.5" style="146" customWidth="1"/>
    <col min="12794" max="12794" width="9" style="146" customWidth="1"/>
    <col min="12795" max="12795" width="8.33203125" style="146" customWidth="1"/>
    <col min="12796" max="12798" width="8.5" style="146" bestFit="1" customWidth="1"/>
    <col min="12799" max="12799" width="10" style="146" bestFit="1" customWidth="1"/>
    <col min="12800" max="12800" width="8.1640625" style="146" bestFit="1" customWidth="1"/>
    <col min="12801" max="12802" width="8.5" style="146" bestFit="1" customWidth="1"/>
    <col min="12803" max="12803" width="6" style="146" bestFit="1" customWidth="1"/>
    <col min="12804" max="12804" width="8.83203125" style="146" customWidth="1"/>
    <col min="12805" max="12805" width="8.5" style="146" bestFit="1" customWidth="1"/>
    <col min="12806" max="12806" width="7.1640625" style="146" bestFit="1" customWidth="1"/>
    <col min="12807" max="12807" width="4.5" style="146" bestFit="1" customWidth="1"/>
    <col min="12808" max="12808" width="5.5" style="146" bestFit="1" customWidth="1"/>
    <col min="12809" max="12811" width="6.1640625" style="146" bestFit="1" customWidth="1"/>
    <col min="12812" max="12812" width="7.1640625" style="146" bestFit="1" customWidth="1"/>
    <col min="12813" max="12822" width="8.83203125" style="146" customWidth="1"/>
    <col min="12823" max="12823" width="10" style="146" bestFit="1" customWidth="1"/>
    <col min="12824" max="13047" width="8.83203125" style="146" customWidth="1"/>
    <col min="13048" max="13048" width="7.83203125" style="146" customWidth="1"/>
    <col min="13049" max="13049" width="7.5" style="146" customWidth="1"/>
    <col min="13050" max="13050" width="9" style="146" customWidth="1"/>
    <col min="13051" max="13051" width="8.33203125" style="146" customWidth="1"/>
    <col min="13052" max="13054" width="8.5" style="146" bestFit="1" customWidth="1"/>
    <col min="13055" max="13055" width="10" style="146" bestFit="1" customWidth="1"/>
    <col min="13056" max="13056" width="8.1640625" style="146" bestFit="1" customWidth="1"/>
    <col min="13057" max="13058" width="8.5" style="146" bestFit="1" customWidth="1"/>
    <col min="13059" max="13059" width="6" style="146" bestFit="1" customWidth="1"/>
    <col min="13060" max="13060" width="8.83203125" style="146" customWidth="1"/>
    <col min="13061" max="13061" width="8.5" style="146" bestFit="1" customWidth="1"/>
    <col min="13062" max="13062" width="7.1640625" style="146" bestFit="1" customWidth="1"/>
    <col min="13063" max="13063" width="4.5" style="146" bestFit="1" customWidth="1"/>
    <col min="13064" max="13064" width="5.5" style="146" bestFit="1" customWidth="1"/>
    <col min="13065" max="13067" width="6.1640625" style="146" bestFit="1" customWidth="1"/>
    <col min="13068" max="13068" width="7.1640625" style="146" bestFit="1" customWidth="1"/>
    <col min="13069" max="13078" width="8.83203125" style="146" customWidth="1"/>
    <col min="13079" max="13079" width="10" style="146" bestFit="1" customWidth="1"/>
    <col min="13080" max="13303" width="8.83203125" style="146" customWidth="1"/>
    <col min="13304" max="13304" width="7.83203125" style="146" customWidth="1"/>
    <col min="13305" max="13305" width="7.5" style="146" customWidth="1"/>
    <col min="13306" max="13306" width="9" style="146" customWidth="1"/>
    <col min="13307" max="13307" width="8.33203125" style="146" customWidth="1"/>
    <col min="13308" max="13310" width="8.5" style="146" bestFit="1" customWidth="1"/>
    <col min="13311" max="13311" width="10" style="146" bestFit="1" customWidth="1"/>
    <col min="13312" max="13312" width="8.1640625" style="146" bestFit="1" customWidth="1"/>
    <col min="13313" max="13314" width="8.5" style="146" bestFit="1" customWidth="1"/>
    <col min="13315" max="13315" width="6" style="146" bestFit="1" customWidth="1"/>
    <col min="13316" max="13316" width="8.83203125" style="146" customWidth="1"/>
    <col min="13317" max="13317" width="8.5" style="146" bestFit="1" customWidth="1"/>
    <col min="13318" max="13318" width="7.1640625" style="146" bestFit="1" customWidth="1"/>
    <col min="13319" max="13319" width="4.5" style="146" bestFit="1" customWidth="1"/>
    <col min="13320" max="13320" width="5.5" style="146" bestFit="1" customWidth="1"/>
    <col min="13321" max="13323" width="6.1640625" style="146" bestFit="1" customWidth="1"/>
    <col min="13324" max="13324" width="7.1640625" style="146" bestFit="1" customWidth="1"/>
    <col min="13325" max="13334" width="8.83203125" style="146" customWidth="1"/>
    <col min="13335" max="13335" width="10" style="146" bestFit="1" customWidth="1"/>
    <col min="13336" max="13559" width="8.83203125" style="146" customWidth="1"/>
    <col min="13560" max="13560" width="7.83203125" style="146" customWidth="1"/>
    <col min="13561" max="13561" width="7.5" style="146" customWidth="1"/>
    <col min="13562" max="13562" width="9" style="146" customWidth="1"/>
    <col min="13563" max="13563" width="8.33203125" style="146" customWidth="1"/>
    <col min="13564" max="13566" width="8.5" style="146" bestFit="1" customWidth="1"/>
    <col min="13567" max="13567" width="10" style="146" bestFit="1" customWidth="1"/>
    <col min="13568" max="13568" width="8.1640625" style="146" bestFit="1" customWidth="1"/>
    <col min="13569" max="13570" width="8.5" style="146" bestFit="1" customWidth="1"/>
    <col min="13571" max="13571" width="6" style="146" bestFit="1" customWidth="1"/>
    <col min="13572" max="13572" width="8.83203125" style="146" customWidth="1"/>
    <col min="13573" max="13573" width="8.5" style="146" bestFit="1" customWidth="1"/>
    <col min="13574" max="13574" width="7.1640625" style="146" bestFit="1" customWidth="1"/>
    <col min="13575" max="13575" width="4.5" style="146" bestFit="1" customWidth="1"/>
    <col min="13576" max="13576" width="5.5" style="146" bestFit="1" customWidth="1"/>
    <col min="13577" max="13579" width="6.1640625" style="146" bestFit="1" customWidth="1"/>
    <col min="13580" max="13580" width="7.1640625" style="146" bestFit="1" customWidth="1"/>
    <col min="13581" max="13590" width="8.83203125" style="146" customWidth="1"/>
    <col min="13591" max="13591" width="10" style="146" bestFit="1" customWidth="1"/>
    <col min="13592" max="13815" width="8.83203125" style="146" customWidth="1"/>
    <col min="13816" max="13816" width="7.83203125" style="146" customWidth="1"/>
    <col min="13817" max="13817" width="7.5" style="146" customWidth="1"/>
    <col min="13818" max="13818" width="9" style="146" customWidth="1"/>
    <col min="13819" max="13819" width="8.33203125" style="146" customWidth="1"/>
    <col min="13820" max="13822" width="8.5" style="146" bestFit="1" customWidth="1"/>
    <col min="13823" max="13823" width="10" style="146" bestFit="1" customWidth="1"/>
    <col min="13824" max="13824" width="8.1640625" style="146" bestFit="1" customWidth="1"/>
    <col min="13825" max="13826" width="8.5" style="146" bestFit="1" customWidth="1"/>
    <col min="13827" max="13827" width="6" style="146" bestFit="1" customWidth="1"/>
    <col min="13828" max="13828" width="8.83203125" style="146" customWidth="1"/>
    <col min="13829" max="13829" width="8.5" style="146" bestFit="1" customWidth="1"/>
    <col min="13830" max="13830" width="7.1640625" style="146" bestFit="1" customWidth="1"/>
    <col min="13831" max="13831" width="4.5" style="146" bestFit="1" customWidth="1"/>
    <col min="13832" max="13832" width="5.5" style="146" bestFit="1" customWidth="1"/>
    <col min="13833" max="13835" width="6.1640625" style="146" bestFit="1" customWidth="1"/>
    <col min="13836" max="13836" width="7.1640625" style="146" bestFit="1" customWidth="1"/>
    <col min="13837" max="13846" width="8.83203125" style="146" customWidth="1"/>
    <col min="13847" max="13847" width="10" style="146" bestFit="1" customWidth="1"/>
    <col min="13848" max="14071" width="8.83203125" style="146" customWidth="1"/>
    <col min="14072" max="14072" width="7.83203125" style="146" customWidth="1"/>
    <col min="14073" max="14073" width="7.5" style="146" customWidth="1"/>
    <col min="14074" max="14074" width="9" style="146" customWidth="1"/>
    <col min="14075" max="14075" width="8.33203125" style="146" customWidth="1"/>
    <col min="14076" max="14078" width="8.5" style="146" bestFit="1" customWidth="1"/>
    <col min="14079" max="14079" width="10" style="146" bestFit="1" customWidth="1"/>
    <col min="14080" max="14080" width="8.1640625" style="146" bestFit="1" customWidth="1"/>
    <col min="14081" max="14082" width="8.5" style="146" bestFit="1" customWidth="1"/>
    <col min="14083" max="14083" width="6" style="146" bestFit="1" customWidth="1"/>
    <col min="14084" max="14084" width="8.83203125" style="146" customWidth="1"/>
    <col min="14085" max="14085" width="8.5" style="146" bestFit="1" customWidth="1"/>
    <col min="14086" max="14086" width="7.1640625" style="146" bestFit="1" customWidth="1"/>
    <col min="14087" max="14087" width="4.5" style="146" bestFit="1" customWidth="1"/>
    <col min="14088" max="14088" width="5.5" style="146" bestFit="1" customWidth="1"/>
    <col min="14089" max="14091" width="6.1640625" style="146" bestFit="1" customWidth="1"/>
    <col min="14092" max="14092" width="7.1640625" style="146" bestFit="1" customWidth="1"/>
    <col min="14093" max="14102" width="8.83203125" style="146" customWidth="1"/>
    <col min="14103" max="14103" width="10" style="146" bestFit="1" customWidth="1"/>
    <col min="14104" max="14327" width="8.83203125" style="146" customWidth="1"/>
    <col min="14328" max="14328" width="7.83203125" style="146" customWidth="1"/>
    <col min="14329" max="14329" width="7.5" style="146" customWidth="1"/>
    <col min="14330" max="14330" width="9" style="146" customWidth="1"/>
    <col min="14331" max="14331" width="8.33203125" style="146" customWidth="1"/>
    <col min="14332" max="14334" width="8.5" style="146" bestFit="1" customWidth="1"/>
    <col min="14335" max="14335" width="10" style="146" bestFit="1" customWidth="1"/>
    <col min="14336" max="14336" width="8.1640625" style="146" bestFit="1" customWidth="1"/>
    <col min="14337" max="14338" width="8.5" style="146" bestFit="1" customWidth="1"/>
    <col min="14339" max="14339" width="6" style="146" bestFit="1" customWidth="1"/>
    <col min="14340" max="14340" width="8.83203125" style="146" customWidth="1"/>
    <col min="14341" max="14341" width="8.5" style="146" bestFit="1" customWidth="1"/>
    <col min="14342" max="14342" width="7.1640625" style="146" bestFit="1" customWidth="1"/>
    <col min="14343" max="14343" width="4.5" style="146" bestFit="1" customWidth="1"/>
    <col min="14344" max="14344" width="5.5" style="146" bestFit="1" customWidth="1"/>
    <col min="14345" max="14347" width="6.1640625" style="146" bestFit="1" customWidth="1"/>
    <col min="14348" max="14348" width="7.1640625" style="146" bestFit="1" customWidth="1"/>
    <col min="14349" max="14358" width="8.83203125" style="146" customWidth="1"/>
    <col min="14359" max="14359" width="10" style="146" bestFit="1" customWidth="1"/>
    <col min="14360" max="14583" width="8.83203125" style="146" customWidth="1"/>
    <col min="14584" max="14584" width="7.83203125" style="146" customWidth="1"/>
    <col min="14585" max="14585" width="7.5" style="146" customWidth="1"/>
    <col min="14586" max="14586" width="9" style="146" customWidth="1"/>
    <col min="14587" max="14587" width="8.33203125" style="146" customWidth="1"/>
    <col min="14588" max="14590" width="8.5" style="146" bestFit="1" customWidth="1"/>
    <col min="14591" max="14591" width="10" style="146" bestFit="1" customWidth="1"/>
    <col min="14592" max="14592" width="8.1640625" style="146" bestFit="1" customWidth="1"/>
    <col min="14593" max="14594" width="8.5" style="146" bestFit="1" customWidth="1"/>
    <col min="14595" max="14595" width="6" style="146" bestFit="1" customWidth="1"/>
    <col min="14596" max="14596" width="8.83203125" style="146" customWidth="1"/>
    <col min="14597" max="14597" width="8.5" style="146" bestFit="1" customWidth="1"/>
    <col min="14598" max="14598" width="7.1640625" style="146" bestFit="1" customWidth="1"/>
    <col min="14599" max="14599" width="4.5" style="146" bestFit="1" customWidth="1"/>
    <col min="14600" max="14600" width="5.5" style="146" bestFit="1" customWidth="1"/>
    <col min="14601" max="14603" width="6.1640625" style="146" bestFit="1" customWidth="1"/>
    <col min="14604" max="14604" width="7.1640625" style="146" bestFit="1" customWidth="1"/>
    <col min="14605" max="14614" width="8.83203125" style="146" customWidth="1"/>
    <col min="14615" max="14615" width="10" style="146" bestFit="1" customWidth="1"/>
    <col min="14616" max="14839" width="8.83203125" style="146" customWidth="1"/>
    <col min="14840" max="14840" width="7.83203125" style="146" customWidth="1"/>
    <col min="14841" max="14841" width="7.5" style="146" customWidth="1"/>
    <col min="14842" max="14842" width="9" style="146" customWidth="1"/>
    <col min="14843" max="14843" width="8.33203125" style="146" customWidth="1"/>
    <col min="14844" max="14846" width="8.5" style="146" bestFit="1" customWidth="1"/>
    <col min="14847" max="14847" width="10" style="146" bestFit="1" customWidth="1"/>
    <col min="14848" max="14848" width="8.1640625" style="146" bestFit="1" customWidth="1"/>
    <col min="14849" max="14850" width="8.5" style="146" bestFit="1" customWidth="1"/>
    <col min="14851" max="14851" width="6" style="146" bestFit="1" customWidth="1"/>
    <col min="14852" max="14852" width="8.83203125" style="146" customWidth="1"/>
    <col min="14853" max="14853" width="8.5" style="146" bestFit="1" customWidth="1"/>
    <col min="14854" max="14854" width="7.1640625" style="146" bestFit="1" customWidth="1"/>
    <col min="14855" max="14855" width="4.5" style="146" bestFit="1" customWidth="1"/>
    <col min="14856" max="14856" width="5.5" style="146" bestFit="1" customWidth="1"/>
    <col min="14857" max="14859" width="6.1640625" style="146" bestFit="1" customWidth="1"/>
    <col min="14860" max="14860" width="7.1640625" style="146" bestFit="1" customWidth="1"/>
    <col min="14861" max="14870" width="8.83203125" style="146" customWidth="1"/>
    <col min="14871" max="14871" width="10" style="146" bestFit="1" customWidth="1"/>
    <col min="14872" max="15095" width="8.83203125" style="146" customWidth="1"/>
    <col min="15096" max="15096" width="7.83203125" style="146" customWidth="1"/>
    <col min="15097" max="15097" width="7.5" style="146" customWidth="1"/>
    <col min="15098" max="15098" width="9" style="146" customWidth="1"/>
    <col min="15099" max="15099" width="8.33203125" style="146" customWidth="1"/>
    <col min="15100" max="15102" width="8.5" style="146" bestFit="1" customWidth="1"/>
    <col min="15103" max="15103" width="10" style="146" bestFit="1" customWidth="1"/>
    <col min="15104" max="15104" width="8.1640625" style="146" bestFit="1" customWidth="1"/>
    <col min="15105" max="15106" width="8.5" style="146" bestFit="1" customWidth="1"/>
    <col min="15107" max="15107" width="6" style="146" bestFit="1" customWidth="1"/>
    <col min="15108" max="15108" width="8.83203125" style="146" customWidth="1"/>
    <col min="15109" max="15109" width="8.5" style="146" bestFit="1" customWidth="1"/>
    <col min="15110" max="15110" width="7.1640625" style="146" bestFit="1" customWidth="1"/>
    <col min="15111" max="15111" width="4.5" style="146" bestFit="1" customWidth="1"/>
    <col min="15112" max="15112" width="5.5" style="146" bestFit="1" customWidth="1"/>
    <col min="15113" max="15115" width="6.1640625" style="146" bestFit="1" customWidth="1"/>
    <col min="15116" max="15116" width="7.1640625" style="146" bestFit="1" customWidth="1"/>
    <col min="15117" max="15126" width="8.83203125" style="146" customWidth="1"/>
    <col min="15127" max="15127" width="10" style="146" bestFit="1" customWidth="1"/>
    <col min="15128" max="15351" width="8.83203125" style="146" customWidth="1"/>
    <col min="15352" max="15352" width="7.83203125" style="146" customWidth="1"/>
    <col min="15353" max="15353" width="7.5" style="146" customWidth="1"/>
    <col min="15354" max="15354" width="9" style="146" customWidth="1"/>
    <col min="15355" max="15355" width="8.33203125" style="146" customWidth="1"/>
    <col min="15356" max="15358" width="8.5" style="146" bestFit="1" customWidth="1"/>
    <col min="15359" max="15359" width="10" style="146" bestFit="1" customWidth="1"/>
    <col min="15360" max="15360" width="8.1640625" style="146" bestFit="1" customWidth="1"/>
    <col min="15361" max="15362" width="8.5" style="146" bestFit="1" customWidth="1"/>
    <col min="15363" max="15363" width="6" style="146" bestFit="1" customWidth="1"/>
    <col min="15364" max="15364" width="8.83203125" style="146" customWidth="1"/>
    <col min="15365" max="15365" width="8.5" style="146" bestFit="1" customWidth="1"/>
    <col min="15366" max="15366" width="7.1640625" style="146" bestFit="1" customWidth="1"/>
    <col min="15367" max="15367" width="4.5" style="146" bestFit="1" customWidth="1"/>
    <col min="15368" max="15368" width="5.5" style="146" bestFit="1" customWidth="1"/>
    <col min="15369" max="15371" width="6.1640625" style="146" bestFit="1" customWidth="1"/>
    <col min="15372" max="15372" width="7.1640625" style="146" bestFit="1" customWidth="1"/>
    <col min="15373" max="15382" width="8.83203125" style="146" customWidth="1"/>
    <col min="15383" max="15383" width="10" style="146" bestFit="1" customWidth="1"/>
    <col min="15384" max="15607" width="8.83203125" style="146" customWidth="1"/>
    <col min="15608" max="15608" width="7.83203125" style="146" customWidth="1"/>
    <col min="15609" max="15609" width="7.5" style="146" customWidth="1"/>
    <col min="15610" max="15610" width="9" style="146" customWidth="1"/>
    <col min="15611" max="15611" width="8.33203125" style="146" customWidth="1"/>
    <col min="15612" max="15614" width="8.5" style="146" bestFit="1" customWidth="1"/>
    <col min="15615" max="15615" width="10" style="146" bestFit="1" customWidth="1"/>
    <col min="15616" max="15616" width="8.1640625" style="146" bestFit="1" customWidth="1"/>
    <col min="15617" max="15618" width="8.5" style="146" bestFit="1" customWidth="1"/>
    <col min="15619" max="15619" width="6" style="146" bestFit="1" customWidth="1"/>
    <col min="15620" max="15620" width="8.83203125" style="146" customWidth="1"/>
    <col min="15621" max="15621" width="8.5" style="146" bestFit="1" customWidth="1"/>
    <col min="15622" max="15622" width="7.1640625" style="146" bestFit="1" customWidth="1"/>
    <col min="15623" max="15623" width="4.5" style="146" bestFit="1" customWidth="1"/>
    <col min="15624" max="15624" width="5.5" style="146" bestFit="1" customWidth="1"/>
    <col min="15625" max="15627" width="6.1640625" style="146" bestFit="1" customWidth="1"/>
    <col min="15628" max="15628" width="7.1640625" style="146" bestFit="1" customWidth="1"/>
    <col min="15629" max="15638" width="8.83203125" style="146" customWidth="1"/>
    <col min="15639" max="15639" width="10" style="146" bestFit="1" customWidth="1"/>
    <col min="15640" max="15863" width="8.83203125" style="146" customWidth="1"/>
    <col min="15864" max="15864" width="7.83203125" style="146" customWidth="1"/>
    <col min="15865" max="15865" width="7.5" style="146" customWidth="1"/>
    <col min="15866" max="15866" width="9" style="146" customWidth="1"/>
    <col min="15867" max="15867" width="8.33203125" style="146" customWidth="1"/>
    <col min="15868" max="15870" width="8.5" style="146" bestFit="1" customWidth="1"/>
    <col min="15871" max="15871" width="10" style="146" bestFit="1" customWidth="1"/>
    <col min="15872" max="15872" width="8.1640625" style="146" bestFit="1" customWidth="1"/>
    <col min="15873" max="15874" width="8.5" style="146" bestFit="1" customWidth="1"/>
    <col min="15875" max="15875" width="6" style="146" bestFit="1" customWidth="1"/>
    <col min="15876" max="15876" width="8.83203125" style="146" customWidth="1"/>
    <col min="15877" max="15877" width="8.5" style="146" bestFit="1" customWidth="1"/>
    <col min="15878" max="15878" width="7.1640625" style="146" bestFit="1" customWidth="1"/>
    <col min="15879" max="15879" width="4.5" style="146" bestFit="1" customWidth="1"/>
    <col min="15880" max="15880" width="5.5" style="146" bestFit="1" customWidth="1"/>
    <col min="15881" max="15883" width="6.1640625" style="146" bestFit="1" customWidth="1"/>
    <col min="15884" max="15884" width="7.1640625" style="146" bestFit="1" customWidth="1"/>
    <col min="15885" max="15894" width="8.83203125" style="146" customWidth="1"/>
    <col min="15895" max="15895" width="10" style="146" bestFit="1" customWidth="1"/>
    <col min="15896" max="16119" width="8.83203125" style="146" customWidth="1"/>
    <col min="16120" max="16120" width="7.83203125" style="146" customWidth="1"/>
    <col min="16121" max="16121" width="7.5" style="146" customWidth="1"/>
    <col min="16122" max="16122" width="9" style="146" customWidth="1"/>
    <col min="16123" max="16123" width="8.33203125" style="146" customWidth="1"/>
    <col min="16124" max="16126" width="8.5" style="146" bestFit="1" customWidth="1"/>
    <col min="16127" max="16127" width="10" style="146" bestFit="1" customWidth="1"/>
    <col min="16128" max="16128" width="8.1640625" style="146" bestFit="1" customWidth="1"/>
    <col min="16129" max="16130" width="8.5" style="146" bestFit="1" customWidth="1"/>
    <col min="16131" max="16131" width="6" style="146" bestFit="1" customWidth="1"/>
    <col min="16132" max="16132" width="8.83203125" style="146" customWidth="1"/>
    <col min="16133" max="16133" width="8.5" style="146" bestFit="1" customWidth="1"/>
    <col min="16134" max="16134" width="7.1640625" style="146" bestFit="1" customWidth="1"/>
    <col min="16135" max="16135" width="4.5" style="146" bestFit="1" customWidth="1"/>
    <col min="16136" max="16136" width="5.5" style="146" bestFit="1" customWidth="1"/>
    <col min="16137" max="16139" width="6.1640625" style="146" bestFit="1" customWidth="1"/>
    <col min="16140" max="16140" width="7.1640625" style="146" bestFit="1" customWidth="1"/>
    <col min="16141" max="16150" width="8.83203125" style="146" customWidth="1"/>
    <col min="16151" max="16151" width="10" style="146" bestFit="1" customWidth="1"/>
    <col min="16152" max="16384" width="8.83203125" style="146" customWidth="1"/>
  </cols>
  <sheetData>
    <row r="1" spans="2:10" s="106" customFormat="1" ht="14" customHeight="1"/>
    <row r="2" spans="2:10" s="106" customFormat="1" ht="14" customHeight="1">
      <c r="B2" s="107" t="s">
        <v>258</v>
      </c>
      <c r="C2" s="108">
        <f>PI()/180</f>
        <v>1.7453292519943295E-2</v>
      </c>
      <c r="F2" s="109" t="s">
        <v>259</v>
      </c>
      <c r="G2" s="110">
        <f>Illumination!C21</f>
        <v>31.441761578650144</v>
      </c>
      <c r="H2" s="111"/>
      <c r="I2" s="112"/>
      <c r="J2" s="113"/>
    </row>
    <row r="3" spans="2:10" s="106" customFormat="1" ht="14" customHeight="1">
      <c r="B3" s="114" t="s">
        <v>260</v>
      </c>
      <c r="C3" s="115">
        <f>(Visibility!C10-2451545)/36525</f>
        <v>0.24603467944329943</v>
      </c>
      <c r="F3" s="116" t="s">
        <v>261</v>
      </c>
      <c r="G3" s="117">
        <v>200</v>
      </c>
      <c r="H3" s="117"/>
      <c r="I3" s="117" t="s">
        <v>262</v>
      </c>
      <c r="J3" s="118">
        <f>MOD(360-Illumination!G2+180,360)</f>
        <v>148.55823842134987</v>
      </c>
    </row>
    <row r="4" spans="2:10" s="106" customFormat="1" ht="14" customHeight="1">
      <c r="B4" s="114" t="s">
        <v>263</v>
      </c>
      <c r="C4" s="115">
        <f>MOD(297.8502042+445267.1115168*$C$3-0.00163*POWER($C$3,2)+(POWER($C$3,3)/545868)-(POWER($C$3,4)/113065000),360)</f>
        <v>49.001154238110757</v>
      </c>
      <c r="F4" s="116" t="s">
        <v>264</v>
      </c>
      <c r="G4" s="117">
        <f>2/G3</f>
        <v>0.01</v>
      </c>
      <c r="H4" s="117"/>
      <c r="I4" s="117" t="s">
        <v>265</v>
      </c>
      <c r="J4" s="119">
        <f>COS(RADIANS(J3))</f>
        <v>-0.85317081861693744</v>
      </c>
    </row>
    <row r="5" spans="2:10" s="106" customFormat="1" ht="14" customHeight="1">
      <c r="B5" s="114" t="s">
        <v>9</v>
      </c>
      <c r="C5" s="115">
        <f>MOD(357.5291092+35999.0502909*$C$3-0.0001536*POWER($C$3,2)+(POWER($C$3,3)/24490000),360)</f>
        <v>214.54389848752544</v>
      </c>
      <c r="F5" s="116"/>
      <c r="G5" s="117"/>
      <c r="H5" s="117"/>
      <c r="I5" s="117" t="s">
        <v>266</v>
      </c>
      <c r="J5" s="120">
        <f>ABS(J4)</f>
        <v>0.85317081861693744</v>
      </c>
    </row>
    <row r="6" spans="2:10" s="106" customFormat="1" ht="14" customHeight="1">
      <c r="B6" s="114" t="s">
        <v>267</v>
      </c>
      <c r="C6" s="115">
        <f>MOD(134.9634114+477198.8676313*$C$3+0.008997*POWER($C$3,2)+(POWER($C$3,3)/69699)-(POWER($C$3,4)/14712000),360)</f>
        <v>182.43438460177276</v>
      </c>
      <c r="F6" s="121"/>
      <c r="G6" s="122"/>
      <c r="H6" s="122"/>
      <c r="I6" s="122" t="s">
        <v>268</v>
      </c>
      <c r="J6" s="123">
        <v>1</v>
      </c>
    </row>
    <row r="7" spans="2:10" s="106" customFormat="1" ht="14" customHeight="1">
      <c r="B7" s="114" t="s">
        <v>269</v>
      </c>
      <c r="C7" s="115">
        <f>180-C4-6.289*SIN($C$2*C6)+2.1*SIN($C$2*C5)-1.274*SIN($C$2*(2*C4-C6))-0.658*SIN($C$2*2*C4)-0.214*SIN($C$2*2*C6)-0.11*SIN($C$2*C4)</f>
        <v>130.59040773878837</v>
      </c>
      <c r="F7" s="116"/>
      <c r="G7" s="117"/>
      <c r="H7" s="117"/>
      <c r="I7" s="117"/>
      <c r="J7" s="120"/>
    </row>
    <row r="8" spans="2:10" s="106" customFormat="1" ht="14" customHeight="1">
      <c r="B8" s="124" t="s">
        <v>270</v>
      </c>
      <c r="C8" s="125">
        <f>(1+COS($C$2*C7))/2</f>
        <v>0.17467645321472303</v>
      </c>
      <c r="F8" s="126" t="s">
        <v>251</v>
      </c>
      <c r="G8" s="127" t="s">
        <v>271</v>
      </c>
      <c r="H8" s="127" t="s">
        <v>272</v>
      </c>
      <c r="I8" s="127" t="s">
        <v>273</v>
      </c>
      <c r="J8" s="128" t="s">
        <v>274</v>
      </c>
    </row>
    <row r="9" spans="2:10" s="106" customFormat="1" ht="14" customHeight="1">
      <c r="F9" s="129">
        <v>-1</v>
      </c>
      <c r="G9" s="130">
        <f t="shared" ref="G9:G72" si="0">IFERROR(IF(SQRT(1-(F9*F9)/($J$5*$J$5))&lt;0.05,0,SQRT(1-(F9*F9)/($J$5*$J$5))),0)</f>
        <v>0</v>
      </c>
      <c r="H9" s="130">
        <f t="shared" ref="H9:H72" si="1">CHOOSE(MATCH($J$3,degrees),IF(F9&lt;0,IFERROR(1-G9,1),0),0,0,IF(F9&gt;0,IFERROR(1-G9,1),0))</f>
        <v>0</v>
      </c>
      <c r="I9" s="130">
        <f t="shared" ref="I9:I72" si="2">CHOOSE(MATCH($J$3,degrees),IF(F9&lt;0,2*G9,2),IF(F9&lt;0,0,1-G9),IF(F9&gt;0,0,1-G9),IF(F9&gt;0,2*G9,2))</f>
        <v>0</v>
      </c>
      <c r="J9" s="119">
        <f t="shared" ref="J9:J72" si="3">CHOOSE(MATCH($J$3,degrees),IF(F9&lt;0,G9+1,2),IF(F9&lt;0,2,2*G9),IF(F9&gt;0,2,2*G9),IF(F9&gt;0,G9+1,2))</f>
        <v>2</v>
      </c>
    </row>
    <row r="10" spans="2:10" s="106" customFormat="1" ht="14" customHeight="1">
      <c r="F10" s="129">
        <f t="shared" ref="F10:F73" si="4">F9+$G$4</f>
        <v>-0.99</v>
      </c>
      <c r="G10" s="130">
        <f t="shared" si="0"/>
        <v>0</v>
      </c>
      <c r="H10" s="130">
        <f t="shared" si="1"/>
        <v>0</v>
      </c>
      <c r="I10" s="130">
        <f t="shared" si="2"/>
        <v>0</v>
      </c>
      <c r="J10" s="119">
        <f t="shared" si="3"/>
        <v>2</v>
      </c>
    </row>
    <row r="11" spans="2:10" s="106" customFormat="1" ht="16" customHeight="1">
      <c r="F11" s="129">
        <f t="shared" si="4"/>
        <v>-0.98</v>
      </c>
      <c r="G11" s="130">
        <f t="shared" si="0"/>
        <v>0</v>
      </c>
      <c r="H11" s="130">
        <f t="shared" si="1"/>
        <v>0</v>
      </c>
      <c r="I11" s="130">
        <f t="shared" si="2"/>
        <v>0</v>
      </c>
      <c r="J11" s="119">
        <f t="shared" si="3"/>
        <v>2</v>
      </c>
    </row>
    <row r="12" spans="2:10" s="106" customFormat="1" ht="16" customHeight="1">
      <c r="F12" s="129">
        <f t="shared" si="4"/>
        <v>-0.97</v>
      </c>
      <c r="G12" s="130">
        <f t="shared" si="0"/>
        <v>0</v>
      </c>
      <c r="H12" s="130">
        <f t="shared" si="1"/>
        <v>0</v>
      </c>
      <c r="I12" s="130">
        <f t="shared" si="2"/>
        <v>0</v>
      </c>
      <c r="J12" s="119">
        <f t="shared" si="3"/>
        <v>2</v>
      </c>
    </row>
    <row r="13" spans="2:10" s="106" customFormat="1" ht="16" customHeight="1">
      <c r="F13" s="129">
        <f t="shared" si="4"/>
        <v>-0.96</v>
      </c>
      <c r="G13" s="130">
        <f t="shared" si="0"/>
        <v>0</v>
      </c>
      <c r="H13" s="130">
        <f t="shared" si="1"/>
        <v>0</v>
      </c>
      <c r="I13" s="130">
        <f t="shared" si="2"/>
        <v>0</v>
      </c>
      <c r="J13" s="119">
        <f t="shared" si="3"/>
        <v>2</v>
      </c>
    </row>
    <row r="14" spans="2:10" s="106" customFormat="1" ht="16" customHeight="1">
      <c r="E14" s="131"/>
      <c r="F14" s="129">
        <f t="shared" si="4"/>
        <v>-0.95</v>
      </c>
      <c r="G14" s="130">
        <f t="shared" si="0"/>
        <v>0</v>
      </c>
      <c r="H14" s="130">
        <f t="shared" si="1"/>
        <v>0</v>
      </c>
      <c r="I14" s="130">
        <f t="shared" si="2"/>
        <v>0</v>
      </c>
      <c r="J14" s="119">
        <f t="shared" si="3"/>
        <v>2</v>
      </c>
    </row>
    <row r="15" spans="2:10" s="106" customFormat="1" ht="16" customHeight="1">
      <c r="E15" s="131"/>
      <c r="F15" s="129">
        <f t="shared" si="4"/>
        <v>-0.94</v>
      </c>
      <c r="G15" s="130">
        <f t="shared" si="0"/>
        <v>0</v>
      </c>
      <c r="H15" s="130">
        <f t="shared" si="1"/>
        <v>0</v>
      </c>
      <c r="I15" s="130">
        <f t="shared" si="2"/>
        <v>0</v>
      </c>
      <c r="J15" s="119">
        <f t="shared" si="3"/>
        <v>2</v>
      </c>
    </row>
    <row r="16" spans="2:10" s="106" customFormat="1" ht="16" customHeight="1">
      <c r="E16" s="131"/>
      <c r="F16" s="129">
        <f t="shared" si="4"/>
        <v>-0.92999999999999994</v>
      </c>
      <c r="G16" s="130">
        <f t="shared" si="0"/>
        <v>0</v>
      </c>
      <c r="H16" s="130">
        <f t="shared" si="1"/>
        <v>0</v>
      </c>
      <c r="I16" s="130">
        <f t="shared" si="2"/>
        <v>0</v>
      </c>
      <c r="J16" s="119">
        <f t="shared" si="3"/>
        <v>2</v>
      </c>
    </row>
    <row r="17" spans="2:10" s="106" customFormat="1" ht="16" customHeight="1">
      <c r="E17" s="131"/>
      <c r="F17" s="129">
        <f t="shared" si="4"/>
        <v>-0.91999999999999993</v>
      </c>
      <c r="G17" s="130">
        <f t="shared" si="0"/>
        <v>0</v>
      </c>
      <c r="H17" s="130">
        <f t="shared" si="1"/>
        <v>0</v>
      </c>
      <c r="I17" s="130">
        <f t="shared" si="2"/>
        <v>0</v>
      </c>
      <c r="J17" s="119">
        <f t="shared" si="3"/>
        <v>2</v>
      </c>
    </row>
    <row r="18" spans="2:10" s="106" customFormat="1" ht="16" customHeight="1">
      <c r="E18" s="131"/>
      <c r="F18" s="129">
        <f t="shared" si="4"/>
        <v>-0.90999999999999992</v>
      </c>
      <c r="G18" s="130">
        <f t="shared" si="0"/>
        <v>0</v>
      </c>
      <c r="H18" s="130">
        <f t="shared" si="1"/>
        <v>0</v>
      </c>
      <c r="I18" s="130">
        <f t="shared" si="2"/>
        <v>0</v>
      </c>
      <c r="J18" s="119">
        <f t="shared" si="3"/>
        <v>2</v>
      </c>
    </row>
    <row r="19" spans="2:10" s="106" customFormat="1" ht="16" customHeight="1">
      <c r="B19" s="132" t="s">
        <v>275</v>
      </c>
      <c r="C19" s="133">
        <v>2460438.64</v>
      </c>
      <c r="D19" s="106" t="s">
        <v>276</v>
      </c>
      <c r="E19" s="131"/>
      <c r="F19" s="129">
        <f t="shared" si="4"/>
        <v>-0.89999999999999991</v>
      </c>
      <c r="G19" s="130">
        <f t="shared" si="0"/>
        <v>0</v>
      </c>
      <c r="H19" s="130">
        <f t="shared" si="1"/>
        <v>0</v>
      </c>
      <c r="I19" s="130">
        <f t="shared" si="2"/>
        <v>0</v>
      </c>
      <c r="J19" s="119">
        <f t="shared" si="3"/>
        <v>2</v>
      </c>
    </row>
    <row r="20" spans="2:10" s="106" customFormat="1" ht="16" customHeight="1">
      <c r="B20" s="134" t="s">
        <v>277</v>
      </c>
      <c r="C20" s="135">
        <f>((Visibility!C10-C19)/29.530588853)-INT((Visibility!C10-C19)/29.530588853)</f>
        <v>0.141714075808411</v>
      </c>
      <c r="D20" s="106" t="str">
        <f>IF(C20&lt;0.5,"(before FM)","(after FM)")</f>
        <v>(before FM)</v>
      </c>
      <c r="E20" s="131"/>
      <c r="F20" s="129">
        <f t="shared" si="4"/>
        <v>-0.8899999999999999</v>
      </c>
      <c r="G20" s="130">
        <f t="shared" si="0"/>
        <v>0</v>
      </c>
      <c r="H20" s="130">
        <f t="shared" si="1"/>
        <v>0</v>
      </c>
      <c r="I20" s="130">
        <f t="shared" si="2"/>
        <v>0</v>
      </c>
      <c r="J20" s="119">
        <f t="shared" si="3"/>
        <v>2</v>
      </c>
    </row>
    <row r="21" spans="2:10" s="106" customFormat="1" ht="16" customHeight="1">
      <c r="B21" s="124" t="s">
        <v>278</v>
      </c>
      <c r="C21" s="136">
        <f>IF(C20&lt;0.5,180*C8,360-180*C8)</f>
        <v>31.441761578650144</v>
      </c>
      <c r="E21" s="131"/>
      <c r="F21" s="129">
        <f t="shared" si="4"/>
        <v>-0.87999999999999989</v>
      </c>
      <c r="G21" s="130">
        <f t="shared" si="0"/>
        <v>0</v>
      </c>
      <c r="H21" s="130">
        <f t="shared" si="1"/>
        <v>0</v>
      </c>
      <c r="I21" s="130">
        <f t="shared" si="2"/>
        <v>0</v>
      </c>
      <c r="J21" s="119">
        <f t="shared" si="3"/>
        <v>2</v>
      </c>
    </row>
    <row r="22" spans="2:10" s="106" customFormat="1" ht="16" customHeight="1">
      <c r="E22" s="131"/>
      <c r="F22" s="129">
        <f t="shared" si="4"/>
        <v>-0.86999999999999988</v>
      </c>
      <c r="G22" s="130">
        <f t="shared" si="0"/>
        <v>0</v>
      </c>
      <c r="H22" s="130">
        <f t="shared" si="1"/>
        <v>0</v>
      </c>
      <c r="I22" s="130">
        <f t="shared" si="2"/>
        <v>0</v>
      </c>
      <c r="J22" s="119">
        <f t="shared" si="3"/>
        <v>2</v>
      </c>
    </row>
    <row r="23" spans="2:10" s="106" customFormat="1" ht="16" customHeight="1">
      <c r="B23" s="137">
        <v>0</v>
      </c>
      <c r="C23" s="138">
        <v>0</v>
      </c>
      <c r="D23" s="139" t="s">
        <v>279</v>
      </c>
      <c r="F23" s="129">
        <f t="shared" si="4"/>
        <v>-0.85999999999999988</v>
      </c>
      <c r="G23" s="130">
        <f t="shared" si="0"/>
        <v>0</v>
      </c>
      <c r="H23" s="130">
        <f t="shared" si="1"/>
        <v>0</v>
      </c>
      <c r="I23" s="130">
        <f t="shared" si="2"/>
        <v>0</v>
      </c>
      <c r="J23" s="119">
        <f t="shared" si="3"/>
        <v>2</v>
      </c>
    </row>
    <row r="24" spans="2:10" s="106" customFormat="1" ht="16" customHeight="1">
      <c r="B24" s="140">
        <f t="shared" ref="B24:B31" si="5">B23+45</f>
        <v>45</v>
      </c>
      <c r="C24" s="141">
        <f t="shared" ref="C24:C31" si="6">B24-22.5</f>
        <v>22.5</v>
      </c>
      <c r="D24" s="142" t="s">
        <v>280</v>
      </c>
      <c r="F24" s="129">
        <f t="shared" si="4"/>
        <v>-0.84999999999999987</v>
      </c>
      <c r="G24" s="130">
        <f t="shared" si="0"/>
        <v>8.6134831959158845E-2</v>
      </c>
      <c r="H24" s="130">
        <f t="shared" si="1"/>
        <v>0</v>
      </c>
      <c r="I24" s="130">
        <f t="shared" si="2"/>
        <v>0</v>
      </c>
      <c r="J24" s="119">
        <f t="shared" si="3"/>
        <v>2</v>
      </c>
    </row>
    <row r="25" spans="2:10" s="106" customFormat="1" ht="16" customHeight="1">
      <c r="B25" s="140">
        <f t="shared" si="5"/>
        <v>90</v>
      </c>
      <c r="C25" s="141">
        <f t="shared" si="6"/>
        <v>67.5</v>
      </c>
      <c r="D25" s="142" t="s">
        <v>281</v>
      </c>
      <c r="F25" s="129">
        <f t="shared" si="4"/>
        <v>-0.83999999999999986</v>
      </c>
      <c r="G25" s="130">
        <f t="shared" si="0"/>
        <v>0.17503333964413309</v>
      </c>
      <c r="H25" s="130">
        <f t="shared" si="1"/>
        <v>0</v>
      </c>
      <c r="I25" s="130">
        <f t="shared" si="2"/>
        <v>0</v>
      </c>
      <c r="J25" s="119">
        <f t="shared" si="3"/>
        <v>2</v>
      </c>
    </row>
    <row r="26" spans="2:10" s="106" customFormat="1" ht="16" customHeight="1">
      <c r="B26" s="140">
        <f t="shared" si="5"/>
        <v>135</v>
      </c>
      <c r="C26" s="141">
        <f t="shared" si="6"/>
        <v>112.5</v>
      </c>
      <c r="D26" s="142" t="s">
        <v>282</v>
      </c>
      <c r="F26" s="129">
        <f t="shared" si="4"/>
        <v>-0.82999999999999985</v>
      </c>
      <c r="G26" s="130">
        <f t="shared" si="0"/>
        <v>0.23147217510681758</v>
      </c>
      <c r="H26" s="130">
        <f t="shared" si="1"/>
        <v>0</v>
      </c>
      <c r="I26" s="130">
        <f t="shared" si="2"/>
        <v>0</v>
      </c>
      <c r="J26" s="119">
        <f t="shared" si="3"/>
        <v>2</v>
      </c>
    </row>
    <row r="27" spans="2:10" s="106" customFormat="1" ht="16" customHeight="1">
      <c r="B27" s="140">
        <f t="shared" si="5"/>
        <v>180</v>
      </c>
      <c r="C27" s="141">
        <f t="shared" si="6"/>
        <v>157.5</v>
      </c>
      <c r="D27" s="142" t="s">
        <v>283</v>
      </c>
      <c r="F27" s="129">
        <f t="shared" si="4"/>
        <v>-0.81999999999999984</v>
      </c>
      <c r="G27" s="130">
        <f t="shared" si="0"/>
        <v>0.27612914163800378</v>
      </c>
      <c r="H27" s="130">
        <f t="shared" si="1"/>
        <v>0</v>
      </c>
      <c r="I27" s="130">
        <f t="shared" si="2"/>
        <v>0</v>
      </c>
      <c r="J27" s="119">
        <f t="shared" si="3"/>
        <v>2</v>
      </c>
    </row>
    <row r="28" spans="2:10" s="106" customFormat="1" ht="16" customHeight="1">
      <c r="B28" s="140">
        <f t="shared" si="5"/>
        <v>225</v>
      </c>
      <c r="C28" s="141">
        <f t="shared" si="6"/>
        <v>202.5</v>
      </c>
      <c r="D28" s="142" t="s">
        <v>284</v>
      </c>
      <c r="F28" s="129">
        <f t="shared" si="4"/>
        <v>-0.80999999999999983</v>
      </c>
      <c r="G28" s="130">
        <f t="shared" si="0"/>
        <v>0.31407081212070209</v>
      </c>
      <c r="H28" s="130">
        <f t="shared" si="1"/>
        <v>0</v>
      </c>
      <c r="I28" s="130">
        <f t="shared" si="2"/>
        <v>0</v>
      </c>
      <c r="J28" s="119">
        <f t="shared" si="3"/>
        <v>2</v>
      </c>
    </row>
    <row r="29" spans="2:10" s="106" customFormat="1" ht="16" customHeight="1">
      <c r="B29" s="140">
        <f t="shared" si="5"/>
        <v>270</v>
      </c>
      <c r="C29" s="141">
        <f t="shared" si="6"/>
        <v>247.5</v>
      </c>
      <c r="D29" s="142" t="s">
        <v>285</v>
      </c>
      <c r="F29" s="129">
        <f t="shared" si="4"/>
        <v>-0.79999999999999982</v>
      </c>
      <c r="G29" s="130">
        <f t="shared" si="0"/>
        <v>0.34750379039937207</v>
      </c>
      <c r="H29" s="130">
        <f t="shared" si="1"/>
        <v>0</v>
      </c>
      <c r="I29" s="130">
        <f t="shared" si="2"/>
        <v>0</v>
      </c>
      <c r="J29" s="119">
        <f t="shared" si="3"/>
        <v>2</v>
      </c>
    </row>
    <row r="30" spans="2:10" s="106" customFormat="1" ht="16" customHeight="1">
      <c r="B30" s="140">
        <f t="shared" si="5"/>
        <v>315</v>
      </c>
      <c r="C30" s="141">
        <f t="shared" si="6"/>
        <v>292.5</v>
      </c>
      <c r="D30" s="142" t="s">
        <v>286</v>
      </c>
      <c r="F30" s="129">
        <f t="shared" si="4"/>
        <v>-0.78999999999999981</v>
      </c>
      <c r="G30" s="130">
        <f t="shared" si="0"/>
        <v>0.37762750271803686</v>
      </c>
      <c r="H30" s="130">
        <f t="shared" si="1"/>
        <v>0</v>
      </c>
      <c r="I30" s="130">
        <f t="shared" si="2"/>
        <v>0</v>
      </c>
      <c r="J30" s="119">
        <f t="shared" si="3"/>
        <v>2</v>
      </c>
    </row>
    <row r="31" spans="2:10" s="106" customFormat="1" ht="16" customHeight="1">
      <c r="B31" s="143">
        <f t="shared" si="5"/>
        <v>360</v>
      </c>
      <c r="C31" s="144">
        <f t="shared" si="6"/>
        <v>337.5</v>
      </c>
      <c r="D31" s="145" t="s">
        <v>279</v>
      </c>
      <c r="F31" s="129">
        <f t="shared" si="4"/>
        <v>-0.7799999999999998</v>
      </c>
      <c r="G31" s="130">
        <f t="shared" si="0"/>
        <v>0.40518071823267687</v>
      </c>
      <c r="H31" s="130">
        <f t="shared" si="1"/>
        <v>0</v>
      </c>
      <c r="I31" s="130">
        <f t="shared" si="2"/>
        <v>0</v>
      </c>
      <c r="J31" s="119">
        <f t="shared" si="3"/>
        <v>2</v>
      </c>
    </row>
    <row r="32" spans="2:10" s="106" customFormat="1" ht="16" customHeight="1">
      <c r="F32" s="129">
        <f t="shared" si="4"/>
        <v>-0.7699999999999998</v>
      </c>
      <c r="G32" s="130">
        <f t="shared" si="0"/>
        <v>0.4306570970010733</v>
      </c>
      <c r="H32" s="130">
        <f t="shared" si="1"/>
        <v>0</v>
      </c>
      <c r="I32" s="130">
        <f t="shared" si="2"/>
        <v>0</v>
      </c>
      <c r="J32" s="119">
        <f t="shared" si="3"/>
        <v>2</v>
      </c>
    </row>
    <row r="33" spans="6:10" s="106" customFormat="1" ht="16" customHeight="1">
      <c r="F33" s="129">
        <f t="shared" si="4"/>
        <v>-0.75999999999999979</v>
      </c>
      <c r="G33" s="130">
        <f t="shared" si="0"/>
        <v>0.45440608833794527</v>
      </c>
      <c r="H33" s="130">
        <f t="shared" si="1"/>
        <v>0</v>
      </c>
      <c r="I33" s="130">
        <f t="shared" si="2"/>
        <v>0</v>
      </c>
      <c r="J33" s="119">
        <f t="shared" si="3"/>
        <v>2</v>
      </c>
    </row>
    <row r="34" spans="6:10" s="106" customFormat="1" ht="16" customHeight="1">
      <c r="F34" s="129">
        <f t="shared" si="4"/>
        <v>-0.74999999999999978</v>
      </c>
      <c r="G34" s="130">
        <f t="shared" si="0"/>
        <v>0.47668594293428673</v>
      </c>
      <c r="H34" s="130">
        <f t="shared" si="1"/>
        <v>0</v>
      </c>
      <c r="I34" s="130">
        <f t="shared" si="2"/>
        <v>0</v>
      </c>
      <c r="J34" s="119">
        <f t="shared" si="3"/>
        <v>2</v>
      </c>
    </row>
    <row r="35" spans="6:10" s="106" customFormat="1" ht="16" customHeight="1">
      <c r="F35" s="129">
        <f t="shared" si="4"/>
        <v>-0.73999999999999977</v>
      </c>
      <c r="G35" s="130">
        <f t="shared" si="0"/>
        <v>0.49769400279194104</v>
      </c>
      <c r="H35" s="130">
        <f t="shared" si="1"/>
        <v>0</v>
      </c>
      <c r="I35" s="130">
        <f t="shared" si="2"/>
        <v>0</v>
      </c>
      <c r="J35" s="119">
        <f t="shared" si="3"/>
        <v>2</v>
      </c>
    </row>
    <row r="36" spans="6:10" s="106" customFormat="1" ht="16" customHeight="1">
      <c r="F36" s="129">
        <f t="shared" si="4"/>
        <v>-0.72999999999999976</v>
      </c>
      <c r="G36" s="130">
        <f t="shared" si="0"/>
        <v>0.51758515221201618</v>
      </c>
      <c r="H36" s="130">
        <f t="shared" si="1"/>
        <v>0</v>
      </c>
      <c r="I36" s="130">
        <f t="shared" si="2"/>
        <v>0</v>
      </c>
      <c r="J36" s="119">
        <f t="shared" si="3"/>
        <v>2</v>
      </c>
    </row>
    <row r="37" spans="6:10" s="106" customFormat="1" ht="16" customHeight="1">
      <c r="F37" s="129">
        <f t="shared" si="4"/>
        <v>-0.71999999999999975</v>
      </c>
      <c r="G37" s="130">
        <f t="shared" si="0"/>
        <v>0.53648364030691931</v>
      </c>
      <c r="H37" s="130">
        <f t="shared" si="1"/>
        <v>0</v>
      </c>
      <c r="I37" s="130">
        <f t="shared" si="2"/>
        <v>0</v>
      </c>
      <c r="J37" s="119">
        <f t="shared" si="3"/>
        <v>2</v>
      </c>
    </row>
    <row r="38" spans="6:10" s="106" customFormat="1" ht="16" customHeight="1">
      <c r="F38" s="129">
        <f t="shared" si="4"/>
        <v>-0.70999999999999974</v>
      </c>
      <c r="G38" s="130">
        <f t="shared" si="0"/>
        <v>0.55449097377229595</v>
      </c>
      <c r="H38" s="130">
        <f t="shared" si="1"/>
        <v>0</v>
      </c>
      <c r="I38" s="130">
        <f t="shared" si="2"/>
        <v>0</v>
      </c>
      <c r="J38" s="119">
        <f t="shared" si="3"/>
        <v>2</v>
      </c>
    </row>
    <row r="39" spans="6:10" s="106" customFormat="1" ht="16" customHeight="1">
      <c r="F39" s="129">
        <f t="shared" si="4"/>
        <v>-0.69999999999999973</v>
      </c>
      <c r="G39" s="130">
        <f t="shared" si="0"/>
        <v>0.57169136850602431</v>
      </c>
      <c r="H39" s="130">
        <f t="shared" si="1"/>
        <v>0</v>
      </c>
      <c r="I39" s="130">
        <f t="shared" si="2"/>
        <v>0</v>
      </c>
      <c r="J39" s="119">
        <f t="shared" si="3"/>
        <v>2</v>
      </c>
    </row>
    <row r="40" spans="6:10" s="106" customFormat="1" ht="16" customHeight="1">
      <c r="F40" s="129">
        <f t="shared" si="4"/>
        <v>-0.68999999999999972</v>
      </c>
      <c r="G40" s="130">
        <f t="shared" si="0"/>
        <v>0.58815562464792392</v>
      </c>
      <c r="H40" s="130">
        <f t="shared" si="1"/>
        <v>0</v>
      </c>
      <c r="I40" s="130">
        <f t="shared" si="2"/>
        <v>0</v>
      </c>
      <c r="J40" s="119">
        <f t="shared" si="3"/>
        <v>2</v>
      </c>
    </row>
    <row r="41" spans="6:10" s="106" customFormat="1" ht="16" customHeight="1">
      <c r="F41" s="129">
        <f t="shared" si="4"/>
        <v>-0.67999999999999972</v>
      </c>
      <c r="G41" s="130">
        <f t="shared" si="0"/>
        <v>0.60394394933391393</v>
      </c>
      <c r="H41" s="130">
        <f t="shared" si="1"/>
        <v>0</v>
      </c>
      <c r="I41" s="130">
        <f t="shared" si="2"/>
        <v>0</v>
      </c>
      <c r="J41" s="119">
        <f t="shared" si="3"/>
        <v>2</v>
      </c>
    </row>
    <row r="42" spans="6:10" s="106" customFormat="1" ht="16" customHeight="1">
      <c r="F42" s="129">
        <f t="shared" si="4"/>
        <v>-0.66999999999999971</v>
      </c>
      <c r="G42" s="130">
        <f t="shared" si="0"/>
        <v>0.61910805698234739</v>
      </c>
      <c r="H42" s="130">
        <f t="shared" si="1"/>
        <v>0</v>
      </c>
      <c r="I42" s="130">
        <f t="shared" si="2"/>
        <v>0</v>
      </c>
      <c r="J42" s="119">
        <f t="shared" si="3"/>
        <v>2</v>
      </c>
    </row>
    <row r="43" spans="6:10" s="106" customFormat="1" ht="16" customHeight="1">
      <c r="F43" s="129">
        <f t="shared" si="4"/>
        <v>-0.6599999999999997</v>
      </c>
      <c r="G43" s="130">
        <f t="shared" si="0"/>
        <v>0.63369276124572138</v>
      </c>
      <c r="H43" s="130">
        <f t="shared" si="1"/>
        <v>0</v>
      </c>
      <c r="I43" s="130">
        <f t="shared" si="2"/>
        <v>0</v>
      </c>
      <c r="J43" s="119">
        <f t="shared" si="3"/>
        <v>2</v>
      </c>
    </row>
    <row r="44" spans="6:10" s="106" customFormat="1" ht="16" customHeight="1">
      <c r="F44" s="129">
        <f t="shared" si="4"/>
        <v>-0.64999999999999969</v>
      </c>
      <c r="G44" s="130">
        <f t="shared" si="0"/>
        <v>0.64773720152647785</v>
      </c>
      <c r="H44" s="130">
        <f t="shared" si="1"/>
        <v>0</v>
      </c>
      <c r="I44" s="130">
        <f t="shared" si="2"/>
        <v>0</v>
      </c>
      <c r="J44" s="119">
        <f t="shared" si="3"/>
        <v>2</v>
      </c>
    </row>
    <row r="45" spans="6:10" s="106" customFormat="1" ht="16" customHeight="1">
      <c r="F45" s="129">
        <f t="shared" si="4"/>
        <v>-0.63999999999999968</v>
      </c>
      <c r="G45" s="130">
        <f t="shared" si="0"/>
        <v>0.66127580174904022</v>
      </c>
      <c r="H45" s="130">
        <f t="shared" si="1"/>
        <v>0</v>
      </c>
      <c r="I45" s="130">
        <f t="shared" si="2"/>
        <v>0</v>
      </c>
      <c r="J45" s="119">
        <f t="shared" si="3"/>
        <v>2</v>
      </c>
    </row>
    <row r="46" spans="6:10" s="106" customFormat="1" ht="16" customHeight="1">
      <c r="F46" s="129">
        <f t="shared" si="4"/>
        <v>-0.62999999999999967</v>
      </c>
      <c r="G46" s="130">
        <f t="shared" si="0"/>
        <v>0.67433902961913439</v>
      </c>
      <c r="H46" s="130">
        <f t="shared" si="1"/>
        <v>0</v>
      </c>
      <c r="I46" s="130">
        <f t="shared" si="2"/>
        <v>0</v>
      </c>
      <c r="J46" s="119">
        <f t="shared" si="3"/>
        <v>2</v>
      </c>
    </row>
    <row r="47" spans="6:10" s="106" customFormat="1" ht="16" customHeight="1">
      <c r="F47" s="129">
        <f t="shared" si="4"/>
        <v>-0.61999999999999966</v>
      </c>
      <c r="G47" s="130">
        <f t="shared" si="0"/>
        <v>0.68695400494346959</v>
      </c>
      <c r="H47" s="130">
        <f t="shared" si="1"/>
        <v>0</v>
      </c>
      <c r="I47" s="130">
        <f t="shared" si="2"/>
        <v>0</v>
      </c>
      <c r="J47" s="119">
        <f t="shared" si="3"/>
        <v>2</v>
      </c>
    </row>
    <row r="48" spans="6:10" s="106" customFormat="1" ht="16" customHeight="1">
      <c r="F48" s="129">
        <f t="shared" si="4"/>
        <v>-0.60999999999999965</v>
      </c>
      <c r="G48" s="130">
        <f t="shared" si="0"/>
        <v>0.69914499218647486</v>
      </c>
      <c r="H48" s="130">
        <f t="shared" si="1"/>
        <v>0</v>
      </c>
      <c r="I48" s="130">
        <f t="shared" si="2"/>
        <v>0</v>
      </c>
      <c r="J48" s="119">
        <f t="shared" si="3"/>
        <v>2</v>
      </c>
    </row>
    <row r="49" spans="6:10" s="106" customFormat="1" ht="16" customHeight="1">
      <c r="F49" s="129">
        <f t="shared" si="4"/>
        <v>-0.59999999999999964</v>
      </c>
      <c r="G49" s="130">
        <f t="shared" si="0"/>
        <v>0.71093380313664667</v>
      </c>
      <c r="H49" s="130">
        <f t="shared" si="1"/>
        <v>0</v>
      </c>
      <c r="I49" s="130">
        <f t="shared" si="2"/>
        <v>0</v>
      </c>
      <c r="J49" s="119">
        <f t="shared" si="3"/>
        <v>2</v>
      </c>
    </row>
    <row r="50" spans="6:10" s="106" customFormat="1" ht="16" customHeight="1">
      <c r="F50" s="129">
        <f t="shared" si="4"/>
        <v>-0.58999999999999964</v>
      </c>
      <c r="G50" s="130">
        <f t="shared" si="0"/>
        <v>0.72234012898121869</v>
      </c>
      <c r="H50" s="130">
        <f t="shared" si="1"/>
        <v>0</v>
      </c>
      <c r="I50" s="130">
        <f t="shared" si="2"/>
        <v>0</v>
      </c>
      <c r="J50" s="119">
        <f t="shared" si="3"/>
        <v>2</v>
      </c>
    </row>
    <row r="51" spans="6:10" s="106" customFormat="1" ht="16" customHeight="1">
      <c r="F51" s="129">
        <f t="shared" si="4"/>
        <v>-0.57999999999999963</v>
      </c>
      <c r="G51" s="130">
        <f t="shared" si="0"/>
        <v>0.73338181637004585</v>
      </c>
      <c r="H51" s="130">
        <f t="shared" si="1"/>
        <v>0</v>
      </c>
      <c r="I51" s="130">
        <f t="shared" si="2"/>
        <v>0</v>
      </c>
      <c r="J51" s="119">
        <f t="shared" si="3"/>
        <v>2</v>
      </c>
    </row>
    <row r="52" spans="6:10" s="106" customFormat="1" ht="16" customHeight="1">
      <c r="F52" s="129">
        <f t="shared" si="4"/>
        <v>-0.56999999999999962</v>
      </c>
      <c r="G52" s="130">
        <f t="shared" si="0"/>
        <v>0.74407509861519261</v>
      </c>
      <c r="H52" s="130">
        <f t="shared" si="1"/>
        <v>0</v>
      </c>
      <c r="I52" s="130">
        <f t="shared" si="2"/>
        <v>0</v>
      </c>
      <c r="J52" s="119">
        <f t="shared" si="3"/>
        <v>2</v>
      </c>
    </row>
    <row r="53" spans="6:10" s="106" customFormat="1" ht="16" customHeight="1">
      <c r="F53" s="129">
        <f t="shared" si="4"/>
        <v>-0.55999999999999961</v>
      </c>
      <c r="G53" s="130">
        <f t="shared" si="0"/>
        <v>0.75443479063968577</v>
      </c>
      <c r="H53" s="130">
        <f t="shared" si="1"/>
        <v>0</v>
      </c>
      <c r="I53" s="130">
        <f t="shared" si="2"/>
        <v>0</v>
      </c>
      <c r="J53" s="119">
        <f t="shared" si="3"/>
        <v>2</v>
      </c>
    </row>
    <row r="54" spans="6:10" s="106" customFormat="1" ht="16" customHeight="1">
      <c r="F54" s="129">
        <f t="shared" si="4"/>
        <v>-0.5499999999999996</v>
      </c>
      <c r="G54" s="130">
        <f t="shared" si="0"/>
        <v>0.76447445439807926</v>
      </c>
      <c r="H54" s="130">
        <f t="shared" si="1"/>
        <v>0</v>
      </c>
      <c r="I54" s="130">
        <f t="shared" si="2"/>
        <v>0</v>
      </c>
      <c r="J54" s="119">
        <f t="shared" si="3"/>
        <v>2</v>
      </c>
    </row>
    <row r="55" spans="6:10" s="106" customFormat="1" ht="16" customHeight="1">
      <c r="F55" s="129">
        <f t="shared" si="4"/>
        <v>-0.53999999999999959</v>
      </c>
      <c r="G55" s="130">
        <f t="shared" si="0"/>
        <v>0.77420654006427281</v>
      </c>
      <c r="H55" s="130">
        <f t="shared" si="1"/>
        <v>0</v>
      </c>
      <c r="I55" s="130">
        <f t="shared" si="2"/>
        <v>0</v>
      </c>
      <c r="J55" s="119">
        <f t="shared" si="3"/>
        <v>2</v>
      </c>
    </row>
    <row r="56" spans="6:10" s="106" customFormat="1" ht="16" customHeight="1">
      <c r="F56" s="129">
        <f t="shared" si="4"/>
        <v>-0.52999999999999958</v>
      </c>
      <c r="G56" s="130">
        <f t="shared" si="0"/>
        <v>0.78364250719361883</v>
      </c>
      <c r="H56" s="130">
        <f t="shared" si="1"/>
        <v>0</v>
      </c>
      <c r="I56" s="130">
        <f t="shared" si="2"/>
        <v>0</v>
      </c>
      <c r="J56" s="119">
        <f t="shared" si="3"/>
        <v>2</v>
      </c>
    </row>
    <row r="57" spans="6:10" s="106" customFormat="1" ht="16" customHeight="1">
      <c r="F57" s="129">
        <f t="shared" si="4"/>
        <v>-0.51999999999999957</v>
      </c>
      <c r="G57" s="130">
        <f t="shared" si="0"/>
        <v>0.7927929292283491</v>
      </c>
      <c r="H57" s="130">
        <f t="shared" si="1"/>
        <v>0</v>
      </c>
      <c r="I57" s="130">
        <f t="shared" si="2"/>
        <v>0</v>
      </c>
      <c r="J57" s="119">
        <f t="shared" si="3"/>
        <v>2</v>
      </c>
    </row>
    <row r="58" spans="6:10" s="106" customFormat="1" ht="16" customHeight="1">
      <c r="F58" s="129">
        <f t="shared" si="4"/>
        <v>-0.50999999999999956</v>
      </c>
      <c r="G58" s="130">
        <f t="shared" si="0"/>
        <v>0.80166758406436034</v>
      </c>
      <c r="H58" s="130">
        <f t="shared" si="1"/>
        <v>0</v>
      </c>
      <c r="I58" s="130">
        <f t="shared" si="2"/>
        <v>0</v>
      </c>
      <c r="J58" s="119">
        <f t="shared" si="3"/>
        <v>2</v>
      </c>
    </row>
    <row r="59" spans="6:10" s="106" customFormat="1" ht="16" customHeight="1">
      <c r="F59" s="129">
        <f t="shared" si="4"/>
        <v>-0.49999999999999956</v>
      </c>
      <c r="G59" s="130">
        <f t="shared" si="0"/>
        <v>0.81027553288746612</v>
      </c>
      <c r="H59" s="130">
        <f t="shared" si="1"/>
        <v>0</v>
      </c>
      <c r="I59" s="130">
        <f t="shared" si="2"/>
        <v>0</v>
      </c>
      <c r="J59" s="119">
        <f t="shared" si="3"/>
        <v>2</v>
      </c>
    </row>
    <row r="60" spans="6:10" s="106" customFormat="1" ht="16" customHeight="1">
      <c r="F60" s="129">
        <f t="shared" si="4"/>
        <v>-0.48999999999999955</v>
      </c>
      <c r="G60" s="130">
        <f t="shared" si="0"/>
        <v>0.81862518908466453</v>
      </c>
      <c r="H60" s="130">
        <f t="shared" si="1"/>
        <v>0</v>
      </c>
      <c r="I60" s="130">
        <f t="shared" si="2"/>
        <v>0</v>
      </c>
      <c r="J60" s="119">
        <f t="shared" si="3"/>
        <v>2</v>
      </c>
    </row>
    <row r="61" spans="6:10" s="106" customFormat="1" ht="16" customHeight="1">
      <c r="F61" s="129">
        <f t="shared" si="4"/>
        <v>-0.47999999999999954</v>
      </c>
      <c r="G61" s="130">
        <f t="shared" si="0"/>
        <v>0.82672437871584237</v>
      </c>
      <c r="H61" s="130">
        <f t="shared" si="1"/>
        <v>0</v>
      </c>
      <c r="I61" s="130">
        <f t="shared" si="2"/>
        <v>0</v>
      </c>
      <c r="J61" s="119">
        <f t="shared" si="3"/>
        <v>2</v>
      </c>
    </row>
    <row r="62" spans="6:10" s="106" customFormat="1" ht="16" customHeight="1">
      <c r="F62" s="129">
        <f t="shared" si="4"/>
        <v>-0.46999999999999953</v>
      </c>
      <c r="G62" s="130">
        <f t="shared" si="0"/>
        <v>0.83458039377500648</v>
      </c>
      <c r="H62" s="130">
        <f t="shared" si="1"/>
        <v>0</v>
      </c>
      <c r="I62" s="130">
        <f t="shared" si="2"/>
        <v>0</v>
      </c>
      <c r="J62" s="119">
        <f t="shared" si="3"/>
        <v>2</v>
      </c>
    </row>
    <row r="63" spans="6:10" s="106" customFormat="1" ht="16" customHeight="1">
      <c r="F63" s="129">
        <f t="shared" si="4"/>
        <v>-0.45999999999999952</v>
      </c>
      <c r="G63" s="130">
        <f t="shared" si="0"/>
        <v>0.84220003926356557</v>
      </c>
      <c r="H63" s="130">
        <f t="shared" si="1"/>
        <v>0</v>
      </c>
      <c r="I63" s="130">
        <f t="shared" si="2"/>
        <v>0</v>
      </c>
      <c r="J63" s="119">
        <f t="shared" si="3"/>
        <v>2</v>
      </c>
    </row>
    <row r="64" spans="6:10" ht="16">
      <c r="F64" s="129">
        <f t="shared" si="4"/>
        <v>-0.44999999999999951</v>
      </c>
      <c r="G64" s="130">
        <f t="shared" si="0"/>
        <v>0.84958967493067761</v>
      </c>
      <c r="H64" s="130">
        <f t="shared" si="1"/>
        <v>0</v>
      </c>
      <c r="I64" s="130">
        <f t="shared" si="2"/>
        <v>0</v>
      </c>
      <c r="J64" s="119">
        <f t="shared" si="3"/>
        <v>2</v>
      </c>
    </row>
    <row r="65" spans="6:10" ht="16">
      <c r="F65" s="129">
        <f t="shared" si="4"/>
        <v>-0.4399999999999995</v>
      </c>
      <c r="G65" s="130">
        <f t="shared" si="0"/>
        <v>0.85675525239909356</v>
      </c>
      <c r="H65" s="130">
        <f t="shared" si="1"/>
        <v>0</v>
      </c>
      <c r="I65" s="130">
        <f t="shared" si="2"/>
        <v>0</v>
      </c>
      <c r="J65" s="119">
        <f t="shared" si="3"/>
        <v>2</v>
      </c>
    </row>
    <row r="66" spans="6:10" ht="16">
      <c r="F66" s="129">
        <f t="shared" si="4"/>
        <v>-0.42999999999999949</v>
      </c>
      <c r="G66" s="130">
        <f t="shared" si="0"/>
        <v>0.86370234828290893</v>
      </c>
      <c r="H66" s="130">
        <f t="shared" si="1"/>
        <v>0</v>
      </c>
      <c r="I66" s="130">
        <f t="shared" si="2"/>
        <v>0</v>
      </c>
      <c r="J66" s="119">
        <f t="shared" si="3"/>
        <v>2</v>
      </c>
    </row>
    <row r="67" spans="6:10" ht="16">
      <c r="F67" s="129">
        <f t="shared" si="4"/>
        <v>-0.41999999999999948</v>
      </c>
      <c r="G67" s="130">
        <f t="shared" si="0"/>
        <v>0.8704361938113242</v>
      </c>
      <c r="H67" s="130">
        <f t="shared" si="1"/>
        <v>0</v>
      </c>
      <c r="I67" s="130">
        <f t="shared" si="2"/>
        <v>0</v>
      </c>
      <c r="J67" s="119">
        <f t="shared" si="3"/>
        <v>2</v>
      </c>
    </row>
    <row r="68" spans="6:10" ht="16">
      <c r="F68" s="129">
        <f t="shared" si="4"/>
        <v>-0.40999999999999948</v>
      </c>
      <c r="G68" s="130">
        <f t="shared" si="0"/>
        <v>0.87696170139603913</v>
      </c>
      <c r="H68" s="130">
        <f t="shared" si="1"/>
        <v>0</v>
      </c>
      <c r="I68" s="130">
        <f t="shared" si="2"/>
        <v>0</v>
      </c>
      <c r="J68" s="119">
        <f t="shared" si="3"/>
        <v>2</v>
      </c>
    </row>
    <row r="69" spans="6:10" ht="16">
      <c r="F69" s="129">
        <f t="shared" si="4"/>
        <v>-0.39999999999999947</v>
      </c>
      <c r="G69" s="130">
        <f t="shared" si="0"/>
        <v>0.88328348851627647</v>
      </c>
      <c r="H69" s="130">
        <f t="shared" si="1"/>
        <v>0</v>
      </c>
      <c r="I69" s="130">
        <f t="shared" si="2"/>
        <v>0</v>
      </c>
      <c r="J69" s="119">
        <f t="shared" si="3"/>
        <v>2</v>
      </c>
    </row>
    <row r="70" spans="6:10" ht="16">
      <c r="F70" s="129">
        <f t="shared" si="4"/>
        <v>-0.38999999999999946</v>
      </c>
      <c r="G70" s="130">
        <f t="shared" si="0"/>
        <v>0.88940589924223434</v>
      </c>
      <c r="H70" s="130">
        <f t="shared" si="1"/>
        <v>0</v>
      </c>
      <c r="I70" s="130">
        <f t="shared" si="2"/>
        <v>0</v>
      </c>
      <c r="J70" s="119">
        <f t="shared" si="3"/>
        <v>2</v>
      </c>
    </row>
    <row r="71" spans="6:10" ht="16">
      <c r="F71" s="129">
        <f t="shared" si="4"/>
        <v>-0.37999999999999945</v>
      </c>
      <c r="G71" s="130">
        <f t="shared" si="0"/>
        <v>0.89533302367311829</v>
      </c>
      <c r="H71" s="130">
        <f t="shared" si="1"/>
        <v>0</v>
      </c>
      <c r="I71" s="130">
        <f t="shared" si="2"/>
        <v>0</v>
      </c>
      <c r="J71" s="119">
        <f t="shared" si="3"/>
        <v>2</v>
      </c>
    </row>
    <row r="72" spans="6:10" ht="16">
      <c r="F72" s="129">
        <f t="shared" si="4"/>
        <v>-0.36999999999999944</v>
      </c>
      <c r="G72" s="130">
        <f t="shared" si="0"/>
        <v>0.90106871552827017</v>
      </c>
      <c r="H72" s="130">
        <f t="shared" si="1"/>
        <v>0</v>
      </c>
      <c r="I72" s="130">
        <f t="shared" si="2"/>
        <v>0</v>
      </c>
      <c r="J72" s="119">
        <f t="shared" si="3"/>
        <v>2</v>
      </c>
    </row>
    <row r="73" spans="6:10" ht="16">
      <c r="F73" s="129">
        <f t="shared" si="4"/>
        <v>-0.35999999999999943</v>
      </c>
      <c r="G73" s="130">
        <f t="shared" ref="G73:G136" si="7">IFERROR(IF(SQRT(1-(F73*F73)/($J$5*$J$5))&lt;0.05,0,SQRT(1-(F73*F73)/($J$5*$J$5))),0)</f>
        <v>0.90661660809806555</v>
      </c>
      <c r="H73" s="130">
        <f t="shared" ref="H73:H136" si="8">CHOOSE(MATCH($J$3,degrees),IF(F73&lt;0,IFERROR(1-G73,1),0),0,0,IF(F73&gt;0,IFERROR(1-G73,1),0))</f>
        <v>0</v>
      </c>
      <c r="I73" s="130">
        <f t="shared" ref="I73:I136" si="9">CHOOSE(MATCH($J$3,degrees),IF(F73&lt;0,2*G73,2),IF(F73&lt;0,0,1-G73),IF(F73&gt;0,0,1-G73),IF(F73&gt;0,2*G73,2))</f>
        <v>0</v>
      </c>
      <c r="J73" s="119">
        <f t="shared" ref="J73:J136" si="10">CHOOSE(MATCH($J$3,degrees),IF(F73&lt;0,G73+1,2),IF(F73&lt;0,2,2*G73),IF(F73&gt;0,2,2*G73),IF(F73&gt;0,G73+1,2))</f>
        <v>2</v>
      </c>
    </row>
    <row r="74" spans="6:10" ht="16">
      <c r="F74" s="129">
        <f t="shared" ref="F74:F137" si="11">F73+$G$4</f>
        <v>-0.34999999999999942</v>
      </c>
      <c r="G74" s="130">
        <f t="shared" si="7"/>
        <v>0.91198012873421386</v>
      </c>
      <c r="H74" s="130">
        <f t="shared" si="8"/>
        <v>0</v>
      </c>
      <c r="I74" s="130">
        <f t="shared" si="9"/>
        <v>0</v>
      </c>
      <c r="J74" s="119">
        <f t="shared" si="10"/>
        <v>2</v>
      </c>
    </row>
    <row r="75" spans="6:10" ht="16">
      <c r="F75" s="129">
        <f t="shared" si="11"/>
        <v>-0.33999999999999941</v>
      </c>
      <c r="G75" s="130">
        <f t="shared" si="7"/>
        <v>0.91716251203604138</v>
      </c>
      <c r="H75" s="130">
        <f t="shared" si="8"/>
        <v>0</v>
      </c>
      <c r="I75" s="130">
        <f t="shared" si="9"/>
        <v>0</v>
      </c>
      <c r="J75" s="119">
        <f t="shared" si="10"/>
        <v>2</v>
      </c>
    </row>
    <row r="76" spans="6:10" ht="16">
      <c r="F76" s="129">
        <f t="shared" si="11"/>
        <v>-0.3299999999999994</v>
      </c>
      <c r="G76" s="130">
        <f t="shared" si="7"/>
        <v>0.92216681186963523</v>
      </c>
      <c r="H76" s="130">
        <f t="shared" si="8"/>
        <v>0</v>
      </c>
      <c r="I76" s="130">
        <f t="shared" si="9"/>
        <v>0</v>
      </c>
      <c r="J76" s="119">
        <f t="shared" si="10"/>
        <v>2</v>
      </c>
    </row>
    <row r="77" spans="6:10" ht="16">
      <c r="F77" s="129">
        <f t="shared" si="11"/>
        <v>-0.3199999999999994</v>
      </c>
      <c r="G77" s="130">
        <f t="shared" si="7"/>
        <v>0.92699591233980605</v>
      </c>
      <c r="H77" s="130">
        <f t="shared" si="8"/>
        <v>0</v>
      </c>
      <c r="I77" s="130">
        <f t="shared" si="9"/>
        <v>0</v>
      </c>
      <c r="J77" s="119">
        <f t="shared" si="10"/>
        <v>2</v>
      </c>
    </row>
    <row r="78" spans="6:10" ht="16">
      <c r="F78" s="129">
        <f t="shared" si="11"/>
        <v>-0.30999999999999939</v>
      </c>
      <c r="G78" s="130">
        <f t="shared" si="7"/>
        <v>0.93165253782028012</v>
      </c>
      <c r="H78" s="130">
        <f t="shared" si="8"/>
        <v>0</v>
      </c>
      <c r="I78" s="130">
        <f t="shared" si="9"/>
        <v>0</v>
      </c>
      <c r="J78" s="119">
        <f t="shared" si="10"/>
        <v>2</v>
      </c>
    </row>
    <row r="79" spans="6:10" ht="16">
      <c r="F79" s="129">
        <f t="shared" si="11"/>
        <v>-0.29999999999999938</v>
      </c>
      <c r="G79" s="130">
        <f t="shared" si="7"/>
        <v>0.93613926213495846</v>
      </c>
      <c r="H79" s="130">
        <f t="shared" si="8"/>
        <v>0</v>
      </c>
      <c r="I79" s="130">
        <f t="shared" si="9"/>
        <v>0</v>
      </c>
      <c r="J79" s="119">
        <f t="shared" si="10"/>
        <v>2</v>
      </c>
    </row>
    <row r="80" spans="6:10" ht="16">
      <c r="F80" s="129">
        <f t="shared" si="11"/>
        <v>-0.28999999999999937</v>
      </c>
      <c r="G80" s="130">
        <f t="shared" si="7"/>
        <v>0.94045851697220395</v>
      </c>
      <c r="H80" s="130">
        <f t="shared" si="8"/>
        <v>0</v>
      </c>
      <c r="I80" s="130">
        <f t="shared" si="9"/>
        <v>0</v>
      </c>
      <c r="J80" s="119">
        <f t="shared" si="10"/>
        <v>2</v>
      </c>
    </row>
    <row r="81" spans="6:10" ht="16">
      <c r="F81" s="129">
        <f t="shared" si="11"/>
        <v>-0.27999999999999936</v>
      </c>
      <c r="G81" s="130">
        <f t="shared" si="7"/>
        <v>0.94461259960466704</v>
      </c>
      <c r="H81" s="130">
        <f t="shared" si="8"/>
        <v>0</v>
      </c>
      <c r="I81" s="130">
        <f t="shared" si="9"/>
        <v>0</v>
      </c>
      <c r="J81" s="119">
        <f t="shared" si="10"/>
        <v>2</v>
      </c>
    </row>
    <row r="82" spans="6:10" ht="16">
      <c r="F82" s="129">
        <f t="shared" si="11"/>
        <v>-0.26999999999999935</v>
      </c>
      <c r="G82" s="130">
        <f t="shared" si="7"/>
        <v>0.9486036799789328</v>
      </c>
      <c r="H82" s="130">
        <f t="shared" si="8"/>
        <v>0</v>
      </c>
      <c r="I82" s="130">
        <f t="shared" si="9"/>
        <v>0</v>
      </c>
      <c r="J82" s="119">
        <f t="shared" si="10"/>
        <v>2</v>
      </c>
    </row>
    <row r="83" spans="6:10" ht="16">
      <c r="F83" s="129">
        <f t="shared" si="11"/>
        <v>-0.25999999999999934</v>
      </c>
      <c r="G83" s="130">
        <f t="shared" si="7"/>
        <v>0.95243380723209148</v>
      </c>
      <c r="H83" s="130">
        <f t="shared" si="8"/>
        <v>0</v>
      </c>
      <c r="I83" s="130">
        <f t="shared" si="9"/>
        <v>0</v>
      </c>
      <c r="J83" s="119">
        <f t="shared" si="10"/>
        <v>2</v>
      </c>
    </row>
    <row r="84" spans="6:10" ht="16">
      <c r="F84" s="129">
        <f t="shared" si="11"/>
        <v>-0.24999999999999933</v>
      </c>
      <c r="G84" s="130">
        <f t="shared" si="7"/>
        <v>0.95610491568604394</v>
      </c>
      <c r="H84" s="130">
        <f t="shared" si="8"/>
        <v>0</v>
      </c>
      <c r="I84" s="130">
        <f t="shared" si="9"/>
        <v>0</v>
      </c>
      <c r="J84" s="119">
        <f t="shared" si="10"/>
        <v>2</v>
      </c>
    </row>
    <row r="85" spans="6:10" ht="16">
      <c r="F85" s="129">
        <f t="shared" si="11"/>
        <v>-0.23999999999999932</v>
      </c>
      <c r="G85" s="130">
        <f t="shared" si="7"/>
        <v>0.95961883036483508</v>
      </c>
      <c r="H85" s="130">
        <f t="shared" si="8"/>
        <v>0</v>
      </c>
      <c r="I85" s="130">
        <f t="shared" si="9"/>
        <v>0</v>
      </c>
      <c r="J85" s="119">
        <f t="shared" si="10"/>
        <v>2</v>
      </c>
    </row>
    <row r="86" spans="6:10" ht="16">
      <c r="F86" s="129">
        <f t="shared" si="11"/>
        <v>-0.22999999999999932</v>
      </c>
      <c r="G86" s="130">
        <f t="shared" si="7"/>
        <v>0.96297727207545669</v>
      </c>
      <c r="H86" s="130">
        <f t="shared" si="8"/>
        <v>0</v>
      </c>
      <c r="I86" s="130">
        <f t="shared" si="9"/>
        <v>0</v>
      </c>
      <c r="J86" s="119">
        <f t="shared" si="10"/>
        <v>2</v>
      </c>
    </row>
    <row r="87" spans="6:10" ht="16">
      <c r="F87" s="129">
        <f t="shared" si="11"/>
        <v>-0.21999999999999931</v>
      </c>
      <c r="G87" s="130">
        <f t="shared" si="7"/>
        <v>0.96618186208827106</v>
      </c>
      <c r="H87" s="130">
        <f t="shared" si="8"/>
        <v>0</v>
      </c>
      <c r="I87" s="130">
        <f t="shared" si="9"/>
        <v>0</v>
      </c>
      <c r="J87" s="119">
        <f t="shared" si="10"/>
        <v>2</v>
      </c>
    </row>
    <row r="88" spans="6:10" ht="16">
      <c r="F88" s="129">
        <f t="shared" si="11"/>
        <v>-0.2099999999999993</v>
      </c>
      <c r="G88" s="130">
        <f t="shared" si="7"/>
        <v>0.96923412644942841</v>
      </c>
      <c r="H88" s="130">
        <f t="shared" si="8"/>
        <v>0</v>
      </c>
      <c r="I88" s="130">
        <f t="shared" si="9"/>
        <v>0</v>
      </c>
      <c r="J88" s="119">
        <f t="shared" si="10"/>
        <v>2</v>
      </c>
    </row>
    <row r="89" spans="6:10" ht="16">
      <c r="F89" s="129">
        <f t="shared" si="11"/>
        <v>-0.19999999999999929</v>
      </c>
      <c r="G89" s="130">
        <f t="shared" si="7"/>
        <v>0.97213549995428672</v>
      </c>
      <c r="H89" s="130">
        <f t="shared" si="8"/>
        <v>0</v>
      </c>
      <c r="I89" s="130">
        <f t="shared" si="9"/>
        <v>0</v>
      </c>
      <c r="J89" s="119">
        <f t="shared" si="10"/>
        <v>2</v>
      </c>
    </row>
    <row r="90" spans="6:10" ht="16">
      <c r="F90" s="129">
        <f t="shared" si="11"/>
        <v>-0.18999999999999928</v>
      </c>
      <c r="G90" s="130">
        <f t="shared" si="7"/>
        <v>0.97488732980786674</v>
      </c>
      <c r="H90" s="130">
        <f t="shared" si="8"/>
        <v>0</v>
      </c>
      <c r="I90" s="130">
        <f t="shared" si="9"/>
        <v>0</v>
      </c>
      <c r="J90" s="119">
        <f t="shared" si="10"/>
        <v>2</v>
      </c>
    </row>
    <row r="91" spans="6:10" ht="16">
      <c r="F91" s="129">
        <f t="shared" si="11"/>
        <v>-0.17999999999999927</v>
      </c>
      <c r="G91" s="130">
        <f t="shared" si="7"/>
        <v>0.97749087899571252</v>
      </c>
      <c r="H91" s="130">
        <f t="shared" si="8"/>
        <v>0</v>
      </c>
      <c r="I91" s="130">
        <f t="shared" si="9"/>
        <v>0</v>
      </c>
      <c r="J91" s="119">
        <f t="shared" si="10"/>
        <v>2</v>
      </c>
    </row>
    <row r="92" spans="6:10" ht="16">
      <c r="F92" s="129">
        <f t="shared" si="11"/>
        <v>-0.16999999999999926</v>
      </c>
      <c r="G92" s="130">
        <f t="shared" si="7"/>
        <v>0.97994732938615925</v>
      </c>
      <c r="H92" s="130">
        <f t="shared" si="8"/>
        <v>0</v>
      </c>
      <c r="I92" s="130">
        <f t="shared" si="9"/>
        <v>0</v>
      </c>
      <c r="J92" s="119">
        <f t="shared" si="10"/>
        <v>2</v>
      </c>
    </row>
    <row r="93" spans="6:10" ht="16">
      <c r="F93" s="129">
        <f t="shared" si="11"/>
        <v>-0.15999999999999925</v>
      </c>
      <c r="G93" s="130">
        <f t="shared" si="7"/>
        <v>0.98225778458288515</v>
      </c>
      <c r="H93" s="130">
        <f t="shared" si="8"/>
        <v>0</v>
      </c>
      <c r="I93" s="130">
        <f t="shared" si="9"/>
        <v>0</v>
      </c>
      <c r="J93" s="119">
        <f t="shared" si="10"/>
        <v>2</v>
      </c>
    </row>
    <row r="94" spans="6:10" ht="16">
      <c r="F94" s="129">
        <f t="shared" si="11"/>
        <v>-0.14999999999999925</v>
      </c>
      <c r="G94" s="130">
        <f t="shared" si="7"/>
        <v>0.98442327254471507</v>
      </c>
      <c r="H94" s="130">
        <f t="shared" si="8"/>
        <v>0</v>
      </c>
      <c r="I94" s="130">
        <f t="shared" si="9"/>
        <v>0</v>
      </c>
      <c r="J94" s="119">
        <f t="shared" si="10"/>
        <v>2</v>
      </c>
    </row>
    <row r="95" spans="6:10" ht="16">
      <c r="F95" s="129">
        <f t="shared" si="11"/>
        <v>-0.13999999999999924</v>
      </c>
      <c r="G95" s="130">
        <f t="shared" si="7"/>
        <v>0.98644474798793058</v>
      </c>
      <c r="H95" s="130">
        <f t="shared" si="8"/>
        <v>0</v>
      </c>
      <c r="I95" s="130">
        <f t="shared" si="9"/>
        <v>0</v>
      </c>
      <c r="J95" s="119">
        <f t="shared" si="10"/>
        <v>2</v>
      </c>
    </row>
    <row r="96" spans="6:10" ht="16">
      <c r="F96" s="129">
        <f t="shared" si="11"/>
        <v>-0.12999999999999923</v>
      </c>
      <c r="G96" s="130">
        <f t="shared" si="7"/>
        <v>0.98832309458478929</v>
      </c>
      <c r="H96" s="130">
        <f t="shared" si="8"/>
        <v>0</v>
      </c>
      <c r="I96" s="130">
        <f t="shared" si="9"/>
        <v>0</v>
      </c>
      <c r="J96" s="119">
        <f t="shared" si="10"/>
        <v>2</v>
      </c>
    </row>
    <row r="97" spans="6:10" ht="16">
      <c r="F97" s="129">
        <f t="shared" si="11"/>
        <v>-0.11999999999999923</v>
      </c>
      <c r="G97" s="130">
        <f t="shared" si="7"/>
        <v>0.99005912697055309</v>
      </c>
      <c r="H97" s="130">
        <f t="shared" si="8"/>
        <v>0</v>
      </c>
      <c r="I97" s="130">
        <f t="shared" si="9"/>
        <v>0</v>
      </c>
      <c r="J97" s="119">
        <f t="shared" si="10"/>
        <v>2</v>
      </c>
    </row>
    <row r="98" spans="6:10" ht="16">
      <c r="F98" s="129">
        <f t="shared" si="11"/>
        <v>-0.10999999999999924</v>
      </c>
      <c r="G98" s="130">
        <f t="shared" si="7"/>
        <v>0.99165359257005159</v>
      </c>
      <c r="H98" s="130">
        <f t="shared" si="8"/>
        <v>0</v>
      </c>
      <c r="I98" s="130">
        <f t="shared" si="9"/>
        <v>0</v>
      </c>
      <c r="J98" s="119">
        <f t="shared" si="10"/>
        <v>2</v>
      </c>
    </row>
    <row r="99" spans="6:10" ht="16">
      <c r="F99" s="129">
        <f t="shared" si="11"/>
        <v>-9.9999999999999242E-2</v>
      </c>
      <c r="G99" s="130">
        <f t="shared" si="7"/>
        <v>0.99310717325364384</v>
      </c>
      <c r="H99" s="130">
        <f t="shared" si="8"/>
        <v>0</v>
      </c>
      <c r="I99" s="130">
        <f t="shared" si="9"/>
        <v>0</v>
      </c>
      <c r="J99" s="119">
        <f t="shared" si="10"/>
        <v>2</v>
      </c>
    </row>
    <row r="100" spans="6:10" ht="16">
      <c r="F100" s="129">
        <f t="shared" si="11"/>
        <v>-8.9999999999999247E-2</v>
      </c>
      <c r="G100" s="130">
        <f t="shared" si="7"/>
        <v>0.99442048683137696</v>
      </c>
      <c r="H100" s="130">
        <f t="shared" si="8"/>
        <v>0</v>
      </c>
      <c r="I100" s="130">
        <f t="shared" si="9"/>
        <v>0</v>
      </c>
      <c r="J100" s="119">
        <f t="shared" si="10"/>
        <v>2</v>
      </c>
    </row>
    <row r="101" spans="6:10" ht="16">
      <c r="F101" s="129">
        <f t="shared" si="11"/>
        <v>-7.9999999999999252E-2</v>
      </c>
      <c r="G101" s="130">
        <f t="shared" si="7"/>
        <v>0.9955940883931661</v>
      </c>
      <c r="H101" s="130">
        <f t="shared" si="8"/>
        <v>0</v>
      </c>
      <c r="I101" s="130">
        <f t="shared" si="9"/>
        <v>0</v>
      </c>
      <c r="J101" s="119">
        <f t="shared" si="10"/>
        <v>2</v>
      </c>
    </row>
    <row r="102" spans="6:10" ht="16">
      <c r="F102" s="129">
        <f t="shared" si="11"/>
        <v>-6.9999999999999257E-2</v>
      </c>
      <c r="G102" s="130">
        <f t="shared" si="7"/>
        <v>0.9966284715019148</v>
      </c>
      <c r="H102" s="130">
        <f t="shared" si="8"/>
        <v>0</v>
      </c>
      <c r="I102" s="130">
        <f t="shared" si="9"/>
        <v>0</v>
      </c>
      <c r="J102" s="119">
        <f t="shared" si="10"/>
        <v>2</v>
      </c>
    </row>
    <row r="103" spans="6:10" ht="16">
      <c r="F103" s="129">
        <f t="shared" si="11"/>
        <v>-5.9999999999999255E-2</v>
      </c>
      <c r="G103" s="130">
        <f t="shared" si="7"/>
        <v>0.99752406924566162</v>
      </c>
      <c r="H103" s="130">
        <f t="shared" si="8"/>
        <v>0</v>
      </c>
      <c r="I103" s="130">
        <f t="shared" si="9"/>
        <v>0</v>
      </c>
      <c r="J103" s="119">
        <f t="shared" si="10"/>
        <v>2</v>
      </c>
    </row>
    <row r="104" spans="6:10" ht="16">
      <c r="F104" s="129">
        <f t="shared" si="11"/>
        <v>-4.9999999999999253E-2</v>
      </c>
      <c r="G104" s="130">
        <f t="shared" si="7"/>
        <v>0.99828125515405763</v>
      </c>
      <c r="H104" s="130">
        <f t="shared" si="8"/>
        <v>0</v>
      </c>
      <c r="I104" s="130">
        <f t="shared" si="9"/>
        <v>0</v>
      </c>
      <c r="J104" s="119">
        <f t="shared" si="10"/>
        <v>2</v>
      </c>
    </row>
    <row r="105" spans="6:10" ht="16">
      <c r="F105" s="129">
        <f t="shared" si="11"/>
        <v>-3.9999999999999251E-2</v>
      </c>
      <c r="G105" s="130">
        <f t="shared" si="7"/>
        <v>0.99890034398375038</v>
      </c>
      <c r="H105" s="130">
        <f t="shared" si="8"/>
        <v>0</v>
      </c>
      <c r="I105" s="130">
        <f t="shared" si="9"/>
        <v>0</v>
      </c>
      <c r="J105" s="119">
        <f t="shared" si="10"/>
        <v>2</v>
      </c>
    </row>
    <row r="106" spans="6:10" ht="16">
      <c r="F106" s="129">
        <f t="shared" si="11"/>
        <v>-2.9999999999999249E-2</v>
      </c>
      <c r="G106" s="130">
        <f t="shared" si="7"/>
        <v>0.99938159237655855</v>
      </c>
      <c r="H106" s="130">
        <f t="shared" si="8"/>
        <v>0</v>
      </c>
      <c r="I106" s="130">
        <f t="shared" si="9"/>
        <v>0</v>
      </c>
      <c r="J106" s="119">
        <f t="shared" si="10"/>
        <v>2</v>
      </c>
    </row>
    <row r="107" spans="6:10" ht="16">
      <c r="F107" s="129">
        <f t="shared" si="11"/>
        <v>-1.9999999999999248E-2</v>
      </c>
      <c r="G107" s="130">
        <f t="shared" si="7"/>
        <v>0.99972519939367022</v>
      </c>
      <c r="H107" s="130">
        <f t="shared" si="8"/>
        <v>0</v>
      </c>
      <c r="I107" s="130">
        <f t="shared" si="9"/>
        <v>0</v>
      </c>
      <c r="J107" s="119">
        <f t="shared" si="10"/>
        <v>2</v>
      </c>
    </row>
    <row r="108" spans="6:10" ht="16">
      <c r="F108" s="129">
        <f t="shared" si="11"/>
        <v>-9.9999999999992473E-3</v>
      </c>
      <c r="G108" s="130">
        <f t="shared" si="7"/>
        <v>0.99993130692847021</v>
      </c>
      <c r="H108" s="130">
        <f t="shared" si="8"/>
        <v>0</v>
      </c>
      <c r="I108" s="130">
        <f t="shared" si="9"/>
        <v>0</v>
      </c>
      <c r="J108" s="119">
        <f t="shared" si="10"/>
        <v>2</v>
      </c>
    </row>
    <row r="109" spans="6:10" ht="16">
      <c r="F109" s="129">
        <f t="shared" si="11"/>
        <v>7.5286998857393428E-16</v>
      </c>
      <c r="G109" s="130">
        <f t="shared" si="7"/>
        <v>1</v>
      </c>
      <c r="H109" s="130">
        <f t="shared" si="8"/>
        <v>0</v>
      </c>
      <c r="I109" s="130">
        <f t="shared" si="9"/>
        <v>0</v>
      </c>
      <c r="J109" s="119">
        <f t="shared" si="10"/>
        <v>2</v>
      </c>
    </row>
    <row r="110" spans="6:10" ht="16">
      <c r="F110" s="129">
        <f t="shared" si="11"/>
        <v>1.0000000000000753E-2</v>
      </c>
      <c r="G110" s="130">
        <f t="shared" si="7"/>
        <v>0.9999313069284701</v>
      </c>
      <c r="H110" s="130">
        <f t="shared" si="8"/>
        <v>0</v>
      </c>
      <c r="I110" s="130">
        <f t="shared" si="9"/>
        <v>6.8693071529901673E-5</v>
      </c>
      <c r="J110" s="119">
        <f t="shared" si="10"/>
        <v>1.9998626138569402</v>
      </c>
    </row>
    <row r="111" spans="6:10" ht="16">
      <c r="F111" s="129">
        <f t="shared" si="11"/>
        <v>2.0000000000000753E-2</v>
      </c>
      <c r="G111" s="130">
        <f t="shared" si="7"/>
        <v>0.99972519939367022</v>
      </c>
      <c r="H111" s="130">
        <f t="shared" si="8"/>
        <v>0</v>
      </c>
      <c r="I111" s="130">
        <f t="shared" si="9"/>
        <v>2.7480060632978365E-4</v>
      </c>
      <c r="J111" s="119">
        <f t="shared" si="10"/>
        <v>1.9994503987873404</v>
      </c>
    </row>
    <row r="112" spans="6:10" ht="16">
      <c r="F112" s="129">
        <f t="shared" si="11"/>
        <v>3.0000000000000755E-2</v>
      </c>
      <c r="G112" s="130">
        <f t="shared" si="7"/>
        <v>0.99938159237655855</v>
      </c>
      <c r="H112" s="130">
        <f t="shared" si="8"/>
        <v>0</v>
      </c>
      <c r="I112" s="130">
        <f t="shared" si="9"/>
        <v>6.1840762344145261E-4</v>
      </c>
      <c r="J112" s="119">
        <f t="shared" si="10"/>
        <v>1.9987631847531171</v>
      </c>
    </row>
    <row r="113" spans="6:10" ht="16">
      <c r="F113" s="129">
        <f t="shared" si="11"/>
        <v>4.0000000000000757E-2</v>
      </c>
      <c r="G113" s="130">
        <f t="shared" si="7"/>
        <v>0.99890034398375038</v>
      </c>
      <c r="H113" s="130">
        <f t="shared" si="8"/>
        <v>0</v>
      </c>
      <c r="I113" s="130">
        <f t="shared" si="9"/>
        <v>1.0996560162496172E-3</v>
      </c>
      <c r="J113" s="119">
        <f t="shared" si="10"/>
        <v>1.9978006879675008</v>
      </c>
    </row>
    <row r="114" spans="6:10" ht="16">
      <c r="F114" s="129">
        <f t="shared" si="11"/>
        <v>5.0000000000000759E-2</v>
      </c>
      <c r="G114" s="130">
        <f t="shared" si="7"/>
        <v>0.99828125515405752</v>
      </c>
      <c r="H114" s="130">
        <f t="shared" si="8"/>
        <v>0</v>
      </c>
      <c r="I114" s="130">
        <f t="shared" si="9"/>
        <v>1.718744845942477E-3</v>
      </c>
      <c r="J114" s="119">
        <f t="shared" si="10"/>
        <v>1.996562510308115</v>
      </c>
    </row>
    <row r="115" spans="6:10" ht="16">
      <c r="F115" s="129">
        <f t="shared" si="11"/>
        <v>6.0000000000000761E-2</v>
      </c>
      <c r="G115" s="130">
        <f t="shared" si="7"/>
        <v>0.9975240692456615</v>
      </c>
      <c r="H115" s="130">
        <f t="shared" si="8"/>
        <v>0</v>
      </c>
      <c r="I115" s="130">
        <f t="shared" si="9"/>
        <v>2.4759307543384956E-3</v>
      </c>
      <c r="J115" s="119">
        <f t="shared" si="10"/>
        <v>1.995048138491323</v>
      </c>
    </row>
    <row r="116" spans="6:10" ht="16">
      <c r="F116" s="129">
        <f t="shared" si="11"/>
        <v>7.0000000000000756E-2</v>
      </c>
      <c r="G116" s="130">
        <f t="shared" si="7"/>
        <v>0.99662847150191469</v>
      </c>
      <c r="H116" s="130">
        <f t="shared" si="8"/>
        <v>0</v>
      </c>
      <c r="I116" s="130">
        <f t="shared" si="9"/>
        <v>3.3715284980853077E-3</v>
      </c>
      <c r="J116" s="119">
        <f t="shared" si="10"/>
        <v>1.9932569430038294</v>
      </c>
    </row>
    <row r="117" spans="6:10" ht="16">
      <c r="F117" s="129">
        <f t="shared" si="11"/>
        <v>8.0000000000000751E-2</v>
      </c>
      <c r="G117" s="130">
        <f t="shared" si="7"/>
        <v>0.99559408839316588</v>
      </c>
      <c r="H117" s="130">
        <f t="shared" si="8"/>
        <v>0</v>
      </c>
      <c r="I117" s="130">
        <f t="shared" si="9"/>
        <v>4.4059116068341231E-3</v>
      </c>
      <c r="J117" s="119">
        <f t="shared" si="10"/>
        <v>1.9911881767863318</v>
      </c>
    </row>
    <row r="118" spans="6:10" ht="16">
      <c r="F118" s="129">
        <f t="shared" si="11"/>
        <v>9.0000000000000746E-2</v>
      </c>
      <c r="G118" s="130">
        <f t="shared" si="7"/>
        <v>0.99442048683137674</v>
      </c>
      <c r="H118" s="130">
        <f t="shared" si="8"/>
        <v>0</v>
      </c>
      <c r="I118" s="130">
        <f t="shared" si="9"/>
        <v>5.5795131686232624E-3</v>
      </c>
      <c r="J118" s="119">
        <f t="shared" si="10"/>
        <v>1.9888409736627535</v>
      </c>
    </row>
    <row r="119" spans="6:10" ht="16">
      <c r="F119" s="129">
        <f t="shared" si="11"/>
        <v>0.10000000000000074</v>
      </c>
      <c r="G119" s="130">
        <f t="shared" si="7"/>
        <v>0.99310717325364362</v>
      </c>
      <c r="H119" s="130">
        <f t="shared" si="8"/>
        <v>0</v>
      </c>
      <c r="I119" s="130">
        <f t="shared" si="9"/>
        <v>6.8928267463563841E-3</v>
      </c>
      <c r="J119" s="119">
        <f t="shared" si="10"/>
        <v>1.9862143465072872</v>
      </c>
    </row>
    <row r="120" spans="6:10" ht="16">
      <c r="F120" s="129">
        <f t="shared" si="11"/>
        <v>0.11000000000000074</v>
      </c>
      <c r="G120" s="130">
        <f t="shared" si="7"/>
        <v>0.99165359257005137</v>
      </c>
      <c r="H120" s="130">
        <f t="shared" si="8"/>
        <v>0</v>
      </c>
      <c r="I120" s="130">
        <f t="shared" si="9"/>
        <v>8.3464074299486324E-3</v>
      </c>
      <c r="J120" s="119">
        <f t="shared" si="10"/>
        <v>1.9833071851401027</v>
      </c>
    </row>
    <row r="121" spans="6:10" ht="16">
      <c r="F121" s="129">
        <f t="shared" si="11"/>
        <v>0.12000000000000073</v>
      </c>
      <c r="G121" s="130">
        <f t="shared" si="7"/>
        <v>0.99005912697055276</v>
      </c>
      <c r="H121" s="130">
        <f t="shared" si="8"/>
        <v>0</v>
      </c>
      <c r="I121" s="130">
        <f t="shared" si="9"/>
        <v>9.9408730294472392E-3</v>
      </c>
      <c r="J121" s="119">
        <f t="shared" si="10"/>
        <v>1.9801182539411055</v>
      </c>
    </row>
    <row r="122" spans="6:10" ht="16">
      <c r="F122" s="129">
        <f t="shared" si="11"/>
        <v>0.13000000000000073</v>
      </c>
      <c r="G122" s="130">
        <f t="shared" si="7"/>
        <v>0.98832309458478906</v>
      </c>
      <c r="H122" s="130">
        <f t="shared" si="8"/>
        <v>0</v>
      </c>
      <c r="I122" s="130">
        <f t="shared" si="9"/>
        <v>1.1676905415210936E-2</v>
      </c>
      <c r="J122" s="119">
        <f t="shared" si="10"/>
        <v>1.9766461891695781</v>
      </c>
    </row>
    <row r="123" spans="6:10" ht="16">
      <c r="F123" s="129">
        <f t="shared" si="11"/>
        <v>0.14000000000000073</v>
      </c>
      <c r="G123" s="130">
        <f t="shared" si="7"/>
        <v>0.98644474798793025</v>
      </c>
      <c r="H123" s="130">
        <f t="shared" si="8"/>
        <v>0</v>
      </c>
      <c r="I123" s="130">
        <f t="shared" si="9"/>
        <v>1.3555252012069752E-2</v>
      </c>
      <c r="J123" s="119">
        <f t="shared" si="10"/>
        <v>1.9728894959758605</v>
      </c>
    </row>
    <row r="124" spans="6:10" ht="16">
      <c r="F124" s="129">
        <f t="shared" si="11"/>
        <v>0.15000000000000074</v>
      </c>
      <c r="G124" s="130">
        <f t="shared" si="7"/>
        <v>0.98442327254471473</v>
      </c>
      <c r="H124" s="130">
        <f t="shared" si="8"/>
        <v>0</v>
      </c>
      <c r="I124" s="130">
        <f t="shared" si="9"/>
        <v>1.5576727455285266E-2</v>
      </c>
      <c r="J124" s="119">
        <f t="shared" si="10"/>
        <v>1.9688465450894295</v>
      </c>
    </row>
    <row r="125" spans="6:10" ht="16">
      <c r="F125" s="129">
        <f t="shared" si="11"/>
        <v>0.16000000000000075</v>
      </c>
      <c r="G125" s="130">
        <f t="shared" si="7"/>
        <v>0.98225778458288482</v>
      </c>
      <c r="H125" s="130">
        <f t="shared" si="8"/>
        <v>0</v>
      </c>
      <c r="I125" s="130">
        <f t="shared" si="9"/>
        <v>1.7742215417115181E-2</v>
      </c>
      <c r="J125" s="119">
        <f t="shared" si="10"/>
        <v>1.9645155691657696</v>
      </c>
    </row>
    <row r="126" spans="6:10" ht="16">
      <c r="F126" s="129">
        <f t="shared" si="11"/>
        <v>0.17000000000000076</v>
      </c>
      <c r="G126" s="130">
        <f t="shared" si="7"/>
        <v>0.97994732938615881</v>
      </c>
      <c r="H126" s="130">
        <f t="shared" si="8"/>
        <v>0</v>
      </c>
      <c r="I126" s="130">
        <f t="shared" si="9"/>
        <v>2.0052670613841195E-2</v>
      </c>
      <c r="J126" s="119">
        <f t="shared" si="10"/>
        <v>1.9598946587723176</v>
      </c>
    </row>
    <row r="127" spans="6:10" ht="16">
      <c r="F127" s="129">
        <f t="shared" si="11"/>
        <v>0.18000000000000077</v>
      </c>
      <c r="G127" s="130">
        <f t="shared" si="7"/>
        <v>0.97749087899571208</v>
      </c>
      <c r="H127" s="130">
        <f t="shared" si="8"/>
        <v>0</v>
      </c>
      <c r="I127" s="130">
        <f t="shared" si="9"/>
        <v>2.2509121004287924E-2</v>
      </c>
      <c r="J127" s="119">
        <f t="shared" si="10"/>
        <v>1.9549817579914242</v>
      </c>
    </row>
    <row r="128" spans="6:10" ht="16">
      <c r="F128" s="129">
        <f t="shared" si="11"/>
        <v>0.19000000000000078</v>
      </c>
      <c r="G128" s="130">
        <f t="shared" si="7"/>
        <v>0.9748873298078663</v>
      </c>
      <c r="H128" s="130">
        <f t="shared" si="8"/>
        <v>0</v>
      </c>
      <c r="I128" s="130">
        <f t="shared" si="9"/>
        <v>2.5112670192133701E-2</v>
      </c>
      <c r="J128" s="119">
        <f t="shared" si="10"/>
        <v>1.9497746596157326</v>
      </c>
    </row>
    <row r="129" spans="6:10" ht="16">
      <c r="F129" s="129">
        <f t="shared" si="11"/>
        <v>0.20000000000000079</v>
      </c>
      <c r="G129" s="130">
        <f t="shared" si="7"/>
        <v>0.97213549995428628</v>
      </c>
      <c r="H129" s="130">
        <f t="shared" si="8"/>
        <v>0</v>
      </c>
      <c r="I129" s="130">
        <f t="shared" si="9"/>
        <v>2.7864500045713725E-2</v>
      </c>
      <c r="J129" s="119">
        <f t="shared" si="10"/>
        <v>1.9442709999085726</v>
      </c>
    </row>
    <row r="130" spans="6:10" ht="16">
      <c r="F130" s="129">
        <f t="shared" si="11"/>
        <v>0.2100000000000008</v>
      </c>
      <c r="G130" s="130">
        <f t="shared" si="7"/>
        <v>0.96923412644942797</v>
      </c>
      <c r="H130" s="130">
        <f t="shared" si="8"/>
        <v>0</v>
      </c>
      <c r="I130" s="130">
        <f t="shared" si="9"/>
        <v>3.0765873550572032E-2</v>
      </c>
      <c r="J130" s="119">
        <f t="shared" si="10"/>
        <v>1.9384682528988559</v>
      </c>
    </row>
    <row r="131" spans="6:10" ht="16">
      <c r="F131" s="129">
        <f t="shared" si="11"/>
        <v>0.22000000000000081</v>
      </c>
      <c r="G131" s="130">
        <f t="shared" si="7"/>
        <v>0.96618186208827062</v>
      </c>
      <c r="H131" s="130">
        <f t="shared" si="8"/>
        <v>0</v>
      </c>
      <c r="I131" s="130">
        <f t="shared" si="9"/>
        <v>3.3818137911729385E-2</v>
      </c>
      <c r="J131" s="119">
        <f t="shared" si="10"/>
        <v>1.9323637241765412</v>
      </c>
    </row>
    <row r="132" spans="6:10" ht="16">
      <c r="F132" s="129">
        <f t="shared" si="11"/>
        <v>0.23000000000000081</v>
      </c>
      <c r="G132" s="130">
        <f t="shared" si="7"/>
        <v>0.96297727207545614</v>
      </c>
      <c r="H132" s="130">
        <f t="shared" si="8"/>
        <v>0</v>
      </c>
      <c r="I132" s="130">
        <f t="shared" si="9"/>
        <v>3.7022727924543863E-2</v>
      </c>
      <c r="J132" s="119">
        <f t="shared" si="10"/>
        <v>1.9259545441509123</v>
      </c>
    </row>
    <row r="133" spans="6:10" ht="16">
      <c r="F133" s="129">
        <f t="shared" si="11"/>
        <v>0.24000000000000082</v>
      </c>
      <c r="G133" s="130">
        <f t="shared" si="7"/>
        <v>0.95961883036483464</v>
      </c>
      <c r="H133" s="130">
        <f t="shared" si="8"/>
        <v>0</v>
      </c>
      <c r="I133" s="130">
        <f t="shared" si="9"/>
        <v>4.0381169635165359E-2</v>
      </c>
      <c r="J133" s="119">
        <f t="shared" si="10"/>
        <v>1.9192376607296693</v>
      </c>
    </row>
    <row r="134" spans="6:10" ht="16">
      <c r="F134" s="129">
        <f t="shared" si="11"/>
        <v>0.25000000000000083</v>
      </c>
      <c r="G134" s="130">
        <f t="shared" si="7"/>
        <v>0.95610491568604328</v>
      </c>
      <c r="H134" s="130">
        <f t="shared" si="8"/>
        <v>0</v>
      </c>
      <c r="I134" s="130">
        <f t="shared" si="9"/>
        <v>4.3895084313956723E-2</v>
      </c>
      <c r="J134" s="119">
        <f t="shared" si="10"/>
        <v>1.9122098313720866</v>
      </c>
    </row>
    <row r="135" spans="6:10" ht="16">
      <c r="F135" s="129">
        <f t="shared" si="11"/>
        <v>0.26000000000000084</v>
      </c>
      <c r="G135" s="130">
        <f t="shared" si="7"/>
        <v>0.95243380723209092</v>
      </c>
      <c r="H135" s="130">
        <f t="shared" si="8"/>
        <v>0</v>
      </c>
      <c r="I135" s="130">
        <f t="shared" si="9"/>
        <v>4.7566192767909077E-2</v>
      </c>
      <c r="J135" s="119">
        <f t="shared" si="10"/>
        <v>1.9048676144641818</v>
      </c>
    </row>
    <row r="136" spans="6:10" ht="16">
      <c r="F136" s="129">
        <f t="shared" si="11"/>
        <v>0.27000000000000085</v>
      </c>
      <c r="G136" s="130">
        <f t="shared" si="7"/>
        <v>0.94860367997893213</v>
      </c>
      <c r="H136" s="130">
        <f t="shared" si="8"/>
        <v>0</v>
      </c>
      <c r="I136" s="130">
        <f t="shared" si="9"/>
        <v>5.1396320021067865E-2</v>
      </c>
      <c r="J136" s="119">
        <f t="shared" si="10"/>
        <v>1.8972073599578643</v>
      </c>
    </row>
    <row r="137" spans="6:10" ht="16">
      <c r="F137" s="129">
        <f t="shared" si="11"/>
        <v>0.28000000000000086</v>
      </c>
      <c r="G137" s="130">
        <f t="shared" ref="G137:G200" si="12">IFERROR(IF(SQRT(1-(F137*F137)/($J$5*$J$5))&lt;0.05,0,SQRT(1-(F137*F137)/($J$5*$J$5))),0)</f>
        <v>0.94461259960466637</v>
      </c>
      <c r="H137" s="130">
        <f t="shared" ref="H137:H200" si="13">CHOOSE(MATCH($J$3,degrees),IF(F137&lt;0,IFERROR(1-G137,1),0),0,0,IF(F137&gt;0,IFERROR(1-G137,1),0))</f>
        <v>0</v>
      </c>
      <c r="I137" s="130">
        <f t="shared" ref="I137:I200" si="14">CHOOSE(MATCH($J$3,degrees),IF(F137&lt;0,2*G137,2),IF(F137&lt;0,0,1-G137),IF(F137&gt;0,0,1-G137),IF(F137&gt;0,2*G137,2))</f>
        <v>5.538740039533363E-2</v>
      </c>
      <c r="J137" s="119">
        <f t="shared" ref="J137:J200" si="15">CHOOSE(MATCH($J$3,degrees),IF(F137&lt;0,G137+1,2),IF(F137&lt;0,2,2*G137),IF(F137&gt;0,2,2*G137),IF(F137&gt;0,G137+1,2))</f>
        <v>1.8892251992093327</v>
      </c>
    </row>
    <row r="138" spans="6:10" ht="16">
      <c r="F138" s="129">
        <f t="shared" ref="F138:F201" si="16">F137+$G$4</f>
        <v>0.29000000000000087</v>
      </c>
      <c r="G138" s="130">
        <f t="shared" si="12"/>
        <v>0.94045851697220328</v>
      </c>
      <c r="H138" s="130">
        <f t="shared" si="13"/>
        <v>0</v>
      </c>
      <c r="I138" s="130">
        <f t="shared" si="14"/>
        <v>5.9541483027796716E-2</v>
      </c>
      <c r="J138" s="119">
        <f t="shared" si="15"/>
        <v>1.8809170339444066</v>
      </c>
    </row>
    <row r="139" spans="6:10" ht="16">
      <c r="F139" s="129">
        <f t="shared" si="16"/>
        <v>0.30000000000000088</v>
      </c>
      <c r="G139" s="130">
        <f t="shared" si="12"/>
        <v>0.93613926213495779</v>
      </c>
      <c r="H139" s="130">
        <f t="shared" si="13"/>
        <v>0</v>
      </c>
      <c r="I139" s="130">
        <f t="shared" si="14"/>
        <v>6.3860737865042205E-2</v>
      </c>
      <c r="J139" s="119">
        <f t="shared" si="15"/>
        <v>1.8722785242699156</v>
      </c>
    </row>
    <row r="140" spans="6:10" ht="16">
      <c r="F140" s="129">
        <f t="shared" si="16"/>
        <v>0.31000000000000089</v>
      </c>
      <c r="G140" s="130">
        <f t="shared" si="12"/>
        <v>0.93165253782027946</v>
      </c>
      <c r="H140" s="130">
        <f t="shared" si="13"/>
        <v>0</v>
      </c>
      <c r="I140" s="130">
        <f t="shared" si="14"/>
        <v>6.8347462179720542E-2</v>
      </c>
      <c r="J140" s="119">
        <f t="shared" si="15"/>
        <v>1.8633050756405589</v>
      </c>
    </row>
    <row r="141" spans="6:10" ht="16">
      <c r="F141" s="129">
        <f t="shared" si="16"/>
        <v>0.32000000000000089</v>
      </c>
      <c r="G141" s="130">
        <f t="shared" si="12"/>
        <v>0.92699591233980527</v>
      </c>
      <c r="H141" s="130">
        <f t="shared" si="13"/>
        <v>0</v>
      </c>
      <c r="I141" s="130">
        <f t="shared" si="14"/>
        <v>7.3004087660194728E-2</v>
      </c>
      <c r="J141" s="119">
        <f t="shared" si="15"/>
        <v>1.8539918246796105</v>
      </c>
    </row>
    <row r="142" spans="6:10" ht="16">
      <c r="F142" s="129">
        <f t="shared" si="16"/>
        <v>0.3300000000000009</v>
      </c>
      <c r="G142" s="130">
        <f t="shared" si="12"/>
        <v>0.92216681186963445</v>
      </c>
      <c r="H142" s="130">
        <f t="shared" si="13"/>
        <v>0</v>
      </c>
      <c r="I142" s="130">
        <f t="shared" si="14"/>
        <v>7.7833188130365549E-2</v>
      </c>
      <c r="J142" s="119">
        <f t="shared" si="15"/>
        <v>1.8443336237392689</v>
      </c>
    </row>
    <row r="143" spans="6:10" ht="16">
      <c r="F143" s="129">
        <f t="shared" si="16"/>
        <v>0.34000000000000091</v>
      </c>
      <c r="G143" s="130">
        <f t="shared" si="12"/>
        <v>0.9171625120360406</v>
      </c>
      <c r="H143" s="130">
        <f t="shared" si="13"/>
        <v>0</v>
      </c>
      <c r="I143" s="130">
        <f t="shared" si="14"/>
        <v>8.28374879639594E-2</v>
      </c>
      <c r="J143" s="119">
        <f t="shared" si="15"/>
        <v>1.8343250240720812</v>
      </c>
    </row>
    <row r="144" spans="6:10" ht="16">
      <c r="F144" s="129">
        <f t="shared" si="16"/>
        <v>0.35000000000000092</v>
      </c>
      <c r="G144" s="130">
        <f t="shared" si="12"/>
        <v>0.91198012873421297</v>
      </c>
      <c r="H144" s="130">
        <f t="shared" si="13"/>
        <v>0</v>
      </c>
      <c r="I144" s="130">
        <f t="shared" si="14"/>
        <v>8.8019871265787031E-2</v>
      </c>
      <c r="J144" s="119">
        <f t="shared" si="15"/>
        <v>1.8239602574684259</v>
      </c>
    </row>
    <row r="145" spans="6:10" ht="16">
      <c r="F145" s="129">
        <f t="shared" si="16"/>
        <v>0.36000000000000093</v>
      </c>
      <c r="G145" s="130">
        <f t="shared" si="12"/>
        <v>0.90661660809806477</v>
      </c>
      <c r="H145" s="130">
        <f t="shared" si="13"/>
        <v>0</v>
      </c>
      <c r="I145" s="130">
        <f t="shared" si="14"/>
        <v>9.3383391901935231E-2</v>
      </c>
      <c r="J145" s="119">
        <f t="shared" si="15"/>
        <v>1.8132332161961295</v>
      </c>
    </row>
    <row r="146" spans="6:10" ht="16">
      <c r="F146" s="129">
        <f t="shared" si="16"/>
        <v>0.37000000000000094</v>
      </c>
      <c r="G146" s="130">
        <f t="shared" si="12"/>
        <v>0.90106871552826928</v>
      </c>
      <c r="H146" s="130">
        <f t="shared" si="13"/>
        <v>0</v>
      </c>
      <c r="I146" s="130">
        <f t="shared" si="14"/>
        <v>9.8931284471730718E-2</v>
      </c>
      <c r="J146" s="119">
        <f t="shared" si="15"/>
        <v>1.8021374310565386</v>
      </c>
    </row>
    <row r="147" spans="6:10" ht="16">
      <c r="F147" s="129">
        <f t="shared" si="16"/>
        <v>0.38000000000000095</v>
      </c>
      <c r="G147" s="130">
        <f t="shared" si="12"/>
        <v>0.8953330236731174</v>
      </c>
      <c r="H147" s="130">
        <f t="shared" si="13"/>
        <v>0</v>
      </c>
      <c r="I147" s="130">
        <f t="shared" si="14"/>
        <v>0.1046669763268826</v>
      </c>
      <c r="J147" s="119">
        <f t="shared" si="15"/>
        <v>1.7906660473462348</v>
      </c>
    </row>
    <row r="148" spans="6:10" ht="16">
      <c r="F148" s="129">
        <f t="shared" si="16"/>
        <v>0.39000000000000096</v>
      </c>
      <c r="G148" s="130">
        <f t="shared" si="12"/>
        <v>0.88940589924223346</v>
      </c>
      <c r="H148" s="130">
        <f t="shared" si="13"/>
        <v>0</v>
      </c>
      <c r="I148" s="130">
        <f t="shared" si="14"/>
        <v>0.11059410075776654</v>
      </c>
      <c r="J148" s="119">
        <f t="shared" si="15"/>
        <v>1.7788117984844669</v>
      </c>
    </row>
    <row r="149" spans="6:10" ht="16">
      <c r="F149" s="129">
        <f t="shared" si="16"/>
        <v>0.40000000000000097</v>
      </c>
      <c r="G149" s="130">
        <f t="shared" si="12"/>
        <v>0.88328348851627558</v>
      </c>
      <c r="H149" s="130">
        <f t="shared" si="13"/>
        <v>0</v>
      </c>
      <c r="I149" s="130">
        <f t="shared" si="14"/>
        <v>0.11671651148372442</v>
      </c>
      <c r="J149" s="119">
        <f t="shared" si="15"/>
        <v>1.7665669770325512</v>
      </c>
    </row>
    <row r="150" spans="6:10" ht="16">
      <c r="F150" s="129">
        <f t="shared" si="16"/>
        <v>0.41000000000000097</v>
      </c>
      <c r="G150" s="130">
        <f t="shared" si="12"/>
        <v>0.87696170139603813</v>
      </c>
      <c r="H150" s="130">
        <f t="shared" si="13"/>
        <v>0</v>
      </c>
      <c r="I150" s="130">
        <f t="shared" si="14"/>
        <v>0.12303829860396187</v>
      </c>
      <c r="J150" s="119">
        <f t="shared" si="15"/>
        <v>1.7539234027920763</v>
      </c>
    </row>
    <row r="151" spans="6:10" ht="16">
      <c r="F151" s="129">
        <f t="shared" si="16"/>
        <v>0.42000000000000098</v>
      </c>
      <c r="G151" s="130">
        <f t="shared" si="12"/>
        <v>0.8704361938113232</v>
      </c>
      <c r="H151" s="130">
        <f t="shared" si="13"/>
        <v>0</v>
      </c>
      <c r="I151" s="130">
        <f t="shared" si="14"/>
        <v>0.1295638061886768</v>
      </c>
      <c r="J151" s="119">
        <f t="shared" si="15"/>
        <v>1.7408723876226464</v>
      </c>
    </row>
    <row r="152" spans="6:10" ht="16">
      <c r="F152" s="129">
        <f t="shared" si="16"/>
        <v>0.43000000000000099</v>
      </c>
      <c r="G152" s="130">
        <f t="shared" si="12"/>
        <v>0.86370234828290793</v>
      </c>
      <c r="H152" s="130">
        <f t="shared" si="13"/>
        <v>0</v>
      </c>
      <c r="I152" s="130">
        <f t="shared" si="14"/>
        <v>0.13629765171709207</v>
      </c>
      <c r="J152" s="119">
        <f t="shared" si="15"/>
        <v>1.7274046965658159</v>
      </c>
    </row>
    <row r="153" spans="6:10" ht="16">
      <c r="F153" s="129">
        <f t="shared" si="16"/>
        <v>0.440000000000001</v>
      </c>
      <c r="G153" s="130">
        <f t="shared" si="12"/>
        <v>0.85675525239909256</v>
      </c>
      <c r="H153" s="130">
        <f t="shared" si="13"/>
        <v>0</v>
      </c>
      <c r="I153" s="130">
        <f t="shared" si="14"/>
        <v>0.14324474760090744</v>
      </c>
      <c r="J153" s="119">
        <f t="shared" si="15"/>
        <v>1.7135105047981851</v>
      </c>
    </row>
    <row r="154" spans="6:10" ht="16">
      <c r="F154" s="129">
        <f t="shared" si="16"/>
        <v>0.45000000000000101</v>
      </c>
      <c r="G154" s="130">
        <f t="shared" si="12"/>
        <v>0.84958967493067661</v>
      </c>
      <c r="H154" s="130">
        <f t="shared" si="13"/>
        <v>0</v>
      </c>
      <c r="I154" s="130">
        <f t="shared" si="14"/>
        <v>0.15041032506932339</v>
      </c>
      <c r="J154" s="119">
        <f t="shared" si="15"/>
        <v>1.6991793498613532</v>
      </c>
    </row>
    <row r="155" spans="6:10" ht="16">
      <c r="F155" s="129">
        <f t="shared" si="16"/>
        <v>0.46000000000000102</v>
      </c>
      <c r="G155" s="130">
        <f t="shared" si="12"/>
        <v>0.84220003926356435</v>
      </c>
      <c r="H155" s="130">
        <f t="shared" si="13"/>
        <v>0</v>
      </c>
      <c r="I155" s="130">
        <f t="shared" si="14"/>
        <v>0.15779996073643565</v>
      </c>
      <c r="J155" s="119">
        <f t="shared" si="15"/>
        <v>1.6844000785271287</v>
      </c>
    </row>
    <row r="156" spans="6:10" ht="16">
      <c r="F156" s="129">
        <f t="shared" si="16"/>
        <v>0.47000000000000103</v>
      </c>
      <c r="G156" s="130">
        <f t="shared" si="12"/>
        <v>0.83458039377500548</v>
      </c>
      <c r="H156" s="130">
        <f t="shared" si="13"/>
        <v>0</v>
      </c>
      <c r="I156" s="130">
        <f t="shared" si="14"/>
        <v>0.16541960622499452</v>
      </c>
      <c r="J156" s="119">
        <f t="shared" si="15"/>
        <v>1.669160787550011</v>
      </c>
    </row>
    <row r="157" spans="6:10" ht="16">
      <c r="F157" s="129">
        <f t="shared" si="16"/>
        <v>0.48000000000000104</v>
      </c>
      <c r="G157" s="130">
        <f t="shared" si="12"/>
        <v>0.82672437871584115</v>
      </c>
      <c r="H157" s="130">
        <f t="shared" si="13"/>
        <v>0</v>
      </c>
      <c r="I157" s="130">
        <f t="shared" si="14"/>
        <v>0.17327562128415885</v>
      </c>
      <c r="J157" s="119">
        <f t="shared" si="15"/>
        <v>1.6534487574316823</v>
      </c>
    </row>
    <row r="158" spans="6:10" ht="16">
      <c r="F158" s="129">
        <f t="shared" si="16"/>
        <v>0.49000000000000105</v>
      </c>
      <c r="G158" s="130">
        <f t="shared" si="12"/>
        <v>0.81862518908466331</v>
      </c>
      <c r="H158" s="130">
        <f t="shared" si="13"/>
        <v>0</v>
      </c>
      <c r="I158" s="130">
        <f t="shared" si="14"/>
        <v>0.18137481091533669</v>
      </c>
      <c r="J158" s="119">
        <f t="shared" si="15"/>
        <v>1.6372503781693266</v>
      </c>
    </row>
    <row r="159" spans="6:10" ht="16">
      <c r="F159" s="129">
        <f t="shared" si="16"/>
        <v>0.500000000000001</v>
      </c>
      <c r="G159" s="130">
        <f t="shared" si="12"/>
        <v>0.8102755328874649</v>
      </c>
      <c r="H159" s="130">
        <f t="shared" si="13"/>
        <v>0</v>
      </c>
      <c r="I159" s="130">
        <f t="shared" si="14"/>
        <v>0.1897244671125351</v>
      </c>
      <c r="J159" s="119">
        <f t="shared" si="15"/>
        <v>1.6205510657749298</v>
      </c>
    </row>
    <row r="160" spans="6:10" ht="16">
      <c r="F160" s="129">
        <f t="shared" si="16"/>
        <v>0.51000000000000101</v>
      </c>
      <c r="G160" s="130">
        <f t="shared" si="12"/>
        <v>0.80166758406435901</v>
      </c>
      <c r="H160" s="130">
        <f t="shared" si="13"/>
        <v>0</v>
      </c>
      <c r="I160" s="130">
        <f t="shared" si="14"/>
        <v>0.19833241593564099</v>
      </c>
      <c r="J160" s="119">
        <f t="shared" si="15"/>
        <v>1.603335168128718</v>
      </c>
    </row>
    <row r="161" spans="6:10" ht="16">
      <c r="F161" s="129">
        <f t="shared" si="16"/>
        <v>0.52000000000000102</v>
      </c>
      <c r="G161" s="130">
        <f t="shared" si="12"/>
        <v>0.79279292922834776</v>
      </c>
      <c r="H161" s="130">
        <f t="shared" si="13"/>
        <v>0</v>
      </c>
      <c r="I161" s="130">
        <f t="shared" si="14"/>
        <v>0.20720707077165224</v>
      </c>
      <c r="J161" s="119">
        <f t="shared" si="15"/>
        <v>1.5855858584566955</v>
      </c>
    </row>
    <row r="162" spans="6:10" ht="16">
      <c r="F162" s="129">
        <f t="shared" si="16"/>
        <v>0.53000000000000103</v>
      </c>
      <c r="G162" s="130">
        <f t="shared" si="12"/>
        <v>0.7836425071936175</v>
      </c>
      <c r="H162" s="130">
        <f t="shared" si="13"/>
        <v>0</v>
      </c>
      <c r="I162" s="130">
        <f t="shared" si="14"/>
        <v>0.2163574928063825</v>
      </c>
      <c r="J162" s="119">
        <f t="shared" si="15"/>
        <v>1.567285014387235</v>
      </c>
    </row>
    <row r="163" spans="6:10" ht="16">
      <c r="F163" s="129">
        <f t="shared" si="16"/>
        <v>0.54000000000000103</v>
      </c>
      <c r="G163" s="130">
        <f t="shared" si="12"/>
        <v>0.77420654006427148</v>
      </c>
      <c r="H163" s="130">
        <f t="shared" si="13"/>
        <v>0</v>
      </c>
      <c r="I163" s="130">
        <f t="shared" si="14"/>
        <v>0.22579345993572852</v>
      </c>
      <c r="J163" s="119">
        <f t="shared" si="15"/>
        <v>1.548413080128543</v>
      </c>
    </row>
    <row r="164" spans="6:10" ht="16">
      <c r="F164" s="129">
        <f t="shared" si="16"/>
        <v>0.55000000000000104</v>
      </c>
      <c r="G164" s="130">
        <f t="shared" si="12"/>
        <v>0.76447445439807793</v>
      </c>
      <c r="H164" s="130">
        <f t="shared" si="13"/>
        <v>0</v>
      </c>
      <c r="I164" s="130">
        <f t="shared" si="14"/>
        <v>0.23552554560192207</v>
      </c>
      <c r="J164" s="119">
        <f t="shared" si="15"/>
        <v>1.5289489087961559</v>
      </c>
    </row>
    <row r="165" spans="6:10" ht="16">
      <c r="F165" s="129">
        <f t="shared" si="16"/>
        <v>0.56000000000000105</v>
      </c>
      <c r="G165" s="130">
        <f t="shared" si="12"/>
        <v>0.75443479063968433</v>
      </c>
      <c r="H165" s="130">
        <f t="shared" si="13"/>
        <v>0</v>
      </c>
      <c r="I165" s="130">
        <f t="shared" si="14"/>
        <v>0.24556520936031567</v>
      </c>
      <c r="J165" s="119">
        <f t="shared" si="15"/>
        <v>1.5088695812793687</v>
      </c>
    </row>
    <row r="166" spans="6:10" ht="16">
      <c r="F166" s="129">
        <f t="shared" si="16"/>
        <v>0.57000000000000106</v>
      </c>
      <c r="G166" s="130">
        <f t="shared" si="12"/>
        <v>0.74407509861519117</v>
      </c>
      <c r="H166" s="130">
        <f t="shared" si="13"/>
        <v>0</v>
      </c>
      <c r="I166" s="130">
        <f t="shared" si="14"/>
        <v>0.25592490138480883</v>
      </c>
      <c r="J166" s="119">
        <f t="shared" si="15"/>
        <v>1.4881501972303823</v>
      </c>
    </row>
    <row r="167" spans="6:10" ht="16">
      <c r="F167" s="129">
        <f t="shared" si="16"/>
        <v>0.58000000000000107</v>
      </c>
      <c r="G167" s="130">
        <f t="shared" si="12"/>
        <v>0.7333818163700444</v>
      </c>
      <c r="H167" s="130">
        <f t="shared" si="13"/>
        <v>0</v>
      </c>
      <c r="I167" s="130">
        <f t="shared" si="14"/>
        <v>0.2666181836299556</v>
      </c>
      <c r="J167" s="119">
        <f t="shared" si="15"/>
        <v>1.4667636327400888</v>
      </c>
    </row>
    <row r="168" spans="6:10" ht="16">
      <c r="F168" s="129">
        <f t="shared" si="16"/>
        <v>0.59000000000000108</v>
      </c>
      <c r="G168" s="130">
        <f t="shared" si="12"/>
        <v>0.72234012898121702</v>
      </c>
      <c r="H168" s="130">
        <f t="shared" si="13"/>
        <v>0</v>
      </c>
      <c r="I168" s="130">
        <f t="shared" si="14"/>
        <v>0.27765987101878298</v>
      </c>
      <c r="J168" s="119">
        <f t="shared" si="15"/>
        <v>1.444680257962434</v>
      </c>
    </row>
    <row r="169" spans="6:10" ht="16">
      <c r="F169" s="129">
        <f t="shared" si="16"/>
        <v>0.60000000000000109</v>
      </c>
      <c r="G169" s="130">
        <f t="shared" si="12"/>
        <v>0.710933803136645</v>
      </c>
      <c r="H169" s="130">
        <f t="shared" si="13"/>
        <v>0</v>
      </c>
      <c r="I169" s="130">
        <f t="shared" si="14"/>
        <v>0.289066196863355</v>
      </c>
      <c r="J169" s="119">
        <f t="shared" si="15"/>
        <v>1.42186760627329</v>
      </c>
    </row>
    <row r="170" spans="6:10" ht="16">
      <c r="F170" s="129">
        <f t="shared" si="16"/>
        <v>0.6100000000000011</v>
      </c>
      <c r="G170" s="130">
        <f t="shared" si="12"/>
        <v>0.69914499218647319</v>
      </c>
      <c r="H170" s="130">
        <f t="shared" si="13"/>
        <v>0</v>
      </c>
      <c r="I170" s="130">
        <f t="shared" si="14"/>
        <v>0.30085500781352681</v>
      </c>
      <c r="J170" s="119">
        <f t="shared" si="15"/>
        <v>1.3982899843729464</v>
      </c>
    </row>
    <row r="171" spans="6:10" ht="16">
      <c r="F171" s="129">
        <f t="shared" si="16"/>
        <v>0.62000000000000111</v>
      </c>
      <c r="G171" s="130">
        <f t="shared" si="12"/>
        <v>0.68695400494346781</v>
      </c>
      <c r="H171" s="130">
        <f t="shared" si="13"/>
        <v>0</v>
      </c>
      <c r="I171" s="130">
        <f t="shared" si="14"/>
        <v>0.31304599505653219</v>
      </c>
      <c r="J171" s="119">
        <f t="shared" si="15"/>
        <v>1.3739080098869356</v>
      </c>
    </row>
    <row r="172" spans="6:10" ht="16">
      <c r="F172" s="129">
        <f t="shared" si="16"/>
        <v>0.63000000000000111</v>
      </c>
      <c r="G172" s="130">
        <f t="shared" si="12"/>
        <v>0.6743390296191325</v>
      </c>
      <c r="H172" s="130">
        <f t="shared" si="13"/>
        <v>0</v>
      </c>
      <c r="I172" s="130">
        <f t="shared" si="14"/>
        <v>0.3256609703808675</v>
      </c>
      <c r="J172" s="119">
        <f t="shared" si="15"/>
        <v>1.348678059238265</v>
      </c>
    </row>
    <row r="173" spans="6:10" ht="16">
      <c r="F173" s="129">
        <f t="shared" si="16"/>
        <v>0.64000000000000112</v>
      </c>
      <c r="G173" s="130">
        <f t="shared" si="12"/>
        <v>0.66127580174903822</v>
      </c>
      <c r="H173" s="130">
        <f t="shared" si="13"/>
        <v>0</v>
      </c>
      <c r="I173" s="130">
        <f t="shared" si="14"/>
        <v>0.33872419825096178</v>
      </c>
      <c r="J173" s="119">
        <f t="shared" si="15"/>
        <v>1.3225516034980764</v>
      </c>
    </row>
    <row r="174" spans="6:10" ht="16">
      <c r="F174" s="129">
        <f t="shared" si="16"/>
        <v>0.65000000000000113</v>
      </c>
      <c r="G174" s="130">
        <f t="shared" si="12"/>
        <v>0.64773720152647585</v>
      </c>
      <c r="H174" s="130">
        <f t="shared" si="13"/>
        <v>0</v>
      </c>
      <c r="I174" s="130">
        <f t="shared" si="14"/>
        <v>0.35226279847352415</v>
      </c>
      <c r="J174" s="119">
        <f t="shared" si="15"/>
        <v>1.2954744030529517</v>
      </c>
    </row>
    <row r="175" spans="6:10" ht="16">
      <c r="F175" s="129">
        <f t="shared" si="16"/>
        <v>0.66000000000000114</v>
      </c>
      <c r="G175" s="130">
        <f t="shared" si="12"/>
        <v>0.63369276124571938</v>
      </c>
      <c r="H175" s="130">
        <f t="shared" si="13"/>
        <v>0</v>
      </c>
      <c r="I175" s="130">
        <f t="shared" si="14"/>
        <v>0.36630723875428062</v>
      </c>
      <c r="J175" s="119">
        <f t="shared" si="15"/>
        <v>1.2673855224914388</v>
      </c>
    </row>
    <row r="176" spans="6:10" ht="16">
      <c r="F176" s="129">
        <f t="shared" si="16"/>
        <v>0.67000000000000115</v>
      </c>
      <c r="G176" s="130">
        <f t="shared" si="12"/>
        <v>0.61910805698234539</v>
      </c>
      <c r="H176" s="130">
        <f t="shared" si="13"/>
        <v>0</v>
      </c>
      <c r="I176" s="130">
        <f t="shared" si="14"/>
        <v>0.38089194301765461</v>
      </c>
      <c r="J176" s="119">
        <f t="shared" si="15"/>
        <v>1.2382161139646908</v>
      </c>
    </row>
    <row r="177" spans="6:10" ht="16">
      <c r="F177" s="129">
        <f t="shared" si="16"/>
        <v>0.68000000000000116</v>
      </c>
      <c r="G177" s="130">
        <f t="shared" si="12"/>
        <v>0.6039439493339116</v>
      </c>
      <c r="H177" s="130">
        <f t="shared" si="13"/>
        <v>0</v>
      </c>
      <c r="I177" s="130">
        <f t="shared" si="14"/>
        <v>0.3960560506660884</v>
      </c>
      <c r="J177" s="119">
        <f t="shared" si="15"/>
        <v>1.2078878986678232</v>
      </c>
    </row>
    <row r="178" spans="6:10" ht="16">
      <c r="F178" s="129">
        <f t="shared" si="16"/>
        <v>0.69000000000000117</v>
      </c>
      <c r="G178" s="130">
        <f t="shared" si="12"/>
        <v>0.58815562464792159</v>
      </c>
      <c r="H178" s="130">
        <f t="shared" si="13"/>
        <v>0</v>
      </c>
      <c r="I178" s="130">
        <f t="shared" si="14"/>
        <v>0.41184437535207841</v>
      </c>
      <c r="J178" s="119">
        <f t="shared" si="15"/>
        <v>1.1763112492958432</v>
      </c>
    </row>
    <row r="179" spans="6:10" ht="16">
      <c r="F179" s="129">
        <f t="shared" si="16"/>
        <v>0.70000000000000118</v>
      </c>
      <c r="G179" s="130">
        <f t="shared" si="12"/>
        <v>0.57169136850602187</v>
      </c>
      <c r="H179" s="130">
        <f t="shared" si="13"/>
        <v>0</v>
      </c>
      <c r="I179" s="130">
        <f t="shared" si="14"/>
        <v>0.42830863149397813</v>
      </c>
      <c r="J179" s="119">
        <f t="shared" si="15"/>
        <v>1.1433827370120437</v>
      </c>
    </row>
    <row r="180" spans="6:10" ht="16">
      <c r="F180" s="129">
        <f t="shared" si="16"/>
        <v>0.71000000000000119</v>
      </c>
      <c r="G180" s="130">
        <f t="shared" si="12"/>
        <v>0.55449097377229339</v>
      </c>
      <c r="H180" s="130">
        <f t="shared" si="13"/>
        <v>0</v>
      </c>
      <c r="I180" s="130">
        <f t="shared" si="14"/>
        <v>0.44550902622770661</v>
      </c>
      <c r="J180" s="119">
        <f t="shared" si="15"/>
        <v>1.1089819475445868</v>
      </c>
    </row>
    <row r="181" spans="6:10" ht="16">
      <c r="F181" s="129">
        <f t="shared" si="16"/>
        <v>0.72000000000000119</v>
      </c>
      <c r="G181" s="130">
        <f t="shared" si="12"/>
        <v>0.53648364030691664</v>
      </c>
      <c r="H181" s="130">
        <f t="shared" si="13"/>
        <v>0</v>
      </c>
      <c r="I181" s="130">
        <f t="shared" si="14"/>
        <v>0.46351635969308336</v>
      </c>
      <c r="J181" s="119">
        <f t="shared" si="15"/>
        <v>1.0729672806138333</v>
      </c>
    </row>
    <row r="182" spans="6:10" ht="16">
      <c r="F182" s="129">
        <f t="shared" si="16"/>
        <v>0.7300000000000012</v>
      </c>
      <c r="G182" s="130">
        <f t="shared" si="12"/>
        <v>0.5175851522120134</v>
      </c>
      <c r="H182" s="130">
        <f t="shared" si="13"/>
        <v>0</v>
      </c>
      <c r="I182" s="130">
        <f t="shared" si="14"/>
        <v>0.4824148477879866</v>
      </c>
      <c r="J182" s="119">
        <f t="shared" si="15"/>
        <v>1.0351703044240268</v>
      </c>
    </row>
    <row r="183" spans="6:10" ht="16">
      <c r="F183" s="129">
        <f t="shared" si="16"/>
        <v>0.74000000000000121</v>
      </c>
      <c r="G183" s="130">
        <f t="shared" si="12"/>
        <v>0.49769400279193809</v>
      </c>
      <c r="H183" s="130">
        <f t="shared" si="13"/>
        <v>0</v>
      </c>
      <c r="I183" s="130">
        <f t="shared" si="14"/>
        <v>0.50230599720806191</v>
      </c>
      <c r="J183" s="119">
        <f t="shared" si="15"/>
        <v>0.99538800558387619</v>
      </c>
    </row>
    <row r="184" spans="6:10" ht="16">
      <c r="F184" s="129">
        <f t="shared" si="16"/>
        <v>0.75000000000000122</v>
      </c>
      <c r="G184" s="130">
        <f t="shared" si="12"/>
        <v>0.47668594293428362</v>
      </c>
      <c r="H184" s="130">
        <f t="shared" si="13"/>
        <v>0</v>
      </c>
      <c r="I184" s="130">
        <f t="shared" si="14"/>
        <v>0.52331405706571643</v>
      </c>
      <c r="J184" s="119">
        <f t="shared" si="15"/>
        <v>0.95337188586856725</v>
      </c>
    </row>
    <row r="185" spans="6:10" ht="16">
      <c r="F185" s="129">
        <f t="shared" si="16"/>
        <v>0.76000000000000123</v>
      </c>
      <c r="G185" s="130">
        <f t="shared" si="12"/>
        <v>0.45440608833794199</v>
      </c>
      <c r="H185" s="130">
        <f t="shared" si="13"/>
        <v>0</v>
      </c>
      <c r="I185" s="130">
        <f t="shared" si="14"/>
        <v>0.54559391166205806</v>
      </c>
      <c r="J185" s="119">
        <f t="shared" si="15"/>
        <v>0.90881217667588399</v>
      </c>
    </row>
    <row r="186" spans="6:10" ht="16">
      <c r="F186" s="129">
        <f t="shared" si="16"/>
        <v>0.77000000000000124</v>
      </c>
      <c r="G186" s="130">
        <f t="shared" si="12"/>
        <v>0.43065709700106969</v>
      </c>
      <c r="H186" s="130">
        <f t="shared" si="13"/>
        <v>0</v>
      </c>
      <c r="I186" s="130">
        <f t="shared" si="14"/>
        <v>0.56934290299893031</v>
      </c>
      <c r="J186" s="119">
        <f t="shared" si="15"/>
        <v>0.86131419400213938</v>
      </c>
    </row>
    <row r="187" spans="6:10" ht="16">
      <c r="F187" s="129">
        <f t="shared" si="16"/>
        <v>0.78000000000000125</v>
      </c>
      <c r="G187" s="130">
        <f t="shared" si="12"/>
        <v>0.40518071823267304</v>
      </c>
      <c r="H187" s="130">
        <f t="shared" si="13"/>
        <v>0</v>
      </c>
      <c r="I187" s="130">
        <f t="shared" si="14"/>
        <v>0.59481928176732701</v>
      </c>
      <c r="J187" s="119">
        <f t="shared" si="15"/>
        <v>0.81036143646534609</v>
      </c>
    </row>
    <row r="188" spans="6:10" ht="16">
      <c r="F188" s="129">
        <f t="shared" si="16"/>
        <v>0.79000000000000126</v>
      </c>
      <c r="G188" s="130">
        <f t="shared" si="12"/>
        <v>0.37762750271803258</v>
      </c>
      <c r="H188" s="130">
        <f t="shared" si="13"/>
        <v>0</v>
      </c>
      <c r="I188" s="130">
        <f t="shared" si="14"/>
        <v>0.62237249728196742</v>
      </c>
      <c r="J188" s="119">
        <f t="shared" si="15"/>
        <v>0.75525500543606516</v>
      </c>
    </row>
    <row r="189" spans="6:10" ht="16">
      <c r="F189" s="129">
        <f t="shared" si="16"/>
        <v>0.80000000000000127</v>
      </c>
      <c r="G189" s="130">
        <f t="shared" si="12"/>
        <v>0.34750379039936746</v>
      </c>
      <c r="H189" s="130">
        <f t="shared" si="13"/>
        <v>0</v>
      </c>
      <c r="I189" s="130">
        <f t="shared" si="14"/>
        <v>0.65249620960063259</v>
      </c>
      <c r="J189" s="119">
        <f t="shared" si="15"/>
        <v>0.69500758079873493</v>
      </c>
    </row>
    <row r="190" spans="6:10" ht="16">
      <c r="F190" s="129">
        <f t="shared" si="16"/>
        <v>0.81000000000000127</v>
      </c>
      <c r="G190" s="130">
        <f t="shared" si="12"/>
        <v>0.31407081212069698</v>
      </c>
      <c r="H190" s="130">
        <f t="shared" si="13"/>
        <v>0</v>
      </c>
      <c r="I190" s="130">
        <f t="shared" si="14"/>
        <v>0.68592918787930302</v>
      </c>
      <c r="J190" s="119">
        <f t="shared" si="15"/>
        <v>0.62814162424139397</v>
      </c>
    </row>
    <row r="191" spans="6:10" ht="16">
      <c r="F191" s="129">
        <f t="shared" si="16"/>
        <v>0.82000000000000128</v>
      </c>
      <c r="G191" s="130">
        <f t="shared" si="12"/>
        <v>0.27612914163799812</v>
      </c>
      <c r="H191" s="130">
        <f t="shared" si="13"/>
        <v>0</v>
      </c>
      <c r="I191" s="130">
        <f t="shared" si="14"/>
        <v>0.72387085836200193</v>
      </c>
      <c r="J191" s="119">
        <f t="shared" si="15"/>
        <v>0.55225828327599624</v>
      </c>
    </row>
    <row r="192" spans="6:10" ht="16">
      <c r="F192" s="129">
        <f t="shared" si="16"/>
        <v>0.83000000000000129</v>
      </c>
      <c r="G192" s="130">
        <f t="shared" si="12"/>
        <v>0.2314721751068104</v>
      </c>
      <c r="H192" s="130">
        <f t="shared" si="13"/>
        <v>0</v>
      </c>
      <c r="I192" s="130">
        <f t="shared" si="14"/>
        <v>0.7685278248931896</v>
      </c>
      <c r="J192" s="119">
        <f t="shared" si="15"/>
        <v>0.46294435021362079</v>
      </c>
    </row>
    <row r="193" spans="6:10" ht="16">
      <c r="F193" s="129">
        <f t="shared" si="16"/>
        <v>0.8400000000000013</v>
      </c>
      <c r="G193" s="130">
        <f t="shared" si="12"/>
        <v>0.17503333964412357</v>
      </c>
      <c r="H193" s="130">
        <f t="shared" si="13"/>
        <v>0</v>
      </c>
      <c r="I193" s="130">
        <f t="shared" si="14"/>
        <v>0.8249666603558764</v>
      </c>
      <c r="J193" s="119">
        <f t="shared" si="15"/>
        <v>0.35006667928824714</v>
      </c>
    </row>
    <row r="194" spans="6:10" ht="16">
      <c r="F194" s="129">
        <f t="shared" si="16"/>
        <v>0.85000000000000131</v>
      </c>
      <c r="G194" s="130">
        <f t="shared" si="12"/>
        <v>8.6134831959138874E-2</v>
      </c>
      <c r="H194" s="130">
        <f t="shared" si="13"/>
        <v>0</v>
      </c>
      <c r="I194" s="130">
        <f t="shared" si="14"/>
        <v>0.91386516804086115</v>
      </c>
      <c r="J194" s="119">
        <f t="shared" si="15"/>
        <v>0.17226966391827775</v>
      </c>
    </row>
    <row r="195" spans="6:10" ht="16">
      <c r="F195" s="129">
        <f t="shared" si="16"/>
        <v>0.86000000000000132</v>
      </c>
      <c r="G195" s="130">
        <f t="shared" si="12"/>
        <v>0</v>
      </c>
      <c r="H195" s="130">
        <f t="shared" si="13"/>
        <v>0</v>
      </c>
      <c r="I195" s="130">
        <f t="shared" si="14"/>
        <v>1</v>
      </c>
      <c r="J195" s="119">
        <f t="shared" si="15"/>
        <v>0</v>
      </c>
    </row>
    <row r="196" spans="6:10" ht="16">
      <c r="F196" s="129">
        <f t="shared" si="16"/>
        <v>0.87000000000000133</v>
      </c>
      <c r="G196" s="130">
        <f t="shared" si="12"/>
        <v>0</v>
      </c>
      <c r="H196" s="130">
        <f t="shared" si="13"/>
        <v>0</v>
      </c>
      <c r="I196" s="130">
        <f t="shared" si="14"/>
        <v>1</v>
      </c>
      <c r="J196" s="119">
        <f t="shared" si="15"/>
        <v>0</v>
      </c>
    </row>
    <row r="197" spans="6:10" ht="16">
      <c r="F197" s="129">
        <f t="shared" si="16"/>
        <v>0.88000000000000134</v>
      </c>
      <c r="G197" s="130">
        <f t="shared" si="12"/>
        <v>0</v>
      </c>
      <c r="H197" s="130">
        <f t="shared" si="13"/>
        <v>0</v>
      </c>
      <c r="I197" s="130">
        <f t="shared" si="14"/>
        <v>1</v>
      </c>
      <c r="J197" s="119">
        <f t="shared" si="15"/>
        <v>0</v>
      </c>
    </row>
    <row r="198" spans="6:10" ht="16">
      <c r="F198" s="129">
        <f t="shared" si="16"/>
        <v>0.89000000000000135</v>
      </c>
      <c r="G198" s="130">
        <f t="shared" si="12"/>
        <v>0</v>
      </c>
      <c r="H198" s="130">
        <f t="shared" si="13"/>
        <v>0</v>
      </c>
      <c r="I198" s="130">
        <f t="shared" si="14"/>
        <v>1</v>
      </c>
      <c r="J198" s="119">
        <f t="shared" si="15"/>
        <v>0</v>
      </c>
    </row>
    <row r="199" spans="6:10" ht="16">
      <c r="F199" s="129">
        <f t="shared" si="16"/>
        <v>0.90000000000000135</v>
      </c>
      <c r="G199" s="130">
        <f t="shared" si="12"/>
        <v>0</v>
      </c>
      <c r="H199" s="130">
        <f t="shared" si="13"/>
        <v>0</v>
      </c>
      <c r="I199" s="130">
        <f t="shared" si="14"/>
        <v>1</v>
      </c>
      <c r="J199" s="119">
        <f t="shared" si="15"/>
        <v>0</v>
      </c>
    </row>
    <row r="200" spans="6:10" ht="16">
      <c r="F200" s="129">
        <f t="shared" si="16"/>
        <v>0.91000000000000136</v>
      </c>
      <c r="G200" s="130">
        <f t="shared" si="12"/>
        <v>0</v>
      </c>
      <c r="H200" s="130">
        <f t="shared" si="13"/>
        <v>0</v>
      </c>
      <c r="I200" s="130">
        <f t="shared" si="14"/>
        <v>1</v>
      </c>
      <c r="J200" s="119">
        <f t="shared" si="15"/>
        <v>0</v>
      </c>
    </row>
    <row r="201" spans="6:10" ht="16">
      <c r="F201" s="129">
        <f t="shared" si="16"/>
        <v>0.92000000000000137</v>
      </c>
      <c r="G201" s="130">
        <f t="shared" ref="G201:G209" si="17">IFERROR(IF(SQRT(1-(F201*F201)/($J$5*$J$5))&lt;0.05,0,SQRT(1-(F201*F201)/($J$5*$J$5))),0)</f>
        <v>0</v>
      </c>
      <c r="H201" s="130">
        <f t="shared" ref="H201:H209" si="18">CHOOSE(MATCH($J$3,degrees),IF(F201&lt;0,IFERROR(1-G201,1),0),0,0,IF(F201&gt;0,IFERROR(1-G201,1),0))</f>
        <v>0</v>
      </c>
      <c r="I201" s="130">
        <f t="shared" ref="I201:I209" si="19">CHOOSE(MATCH($J$3,degrees),IF(F201&lt;0,2*G201,2),IF(F201&lt;0,0,1-G201),IF(F201&gt;0,0,1-G201),IF(F201&gt;0,2*G201,2))</f>
        <v>1</v>
      </c>
      <c r="J201" s="119">
        <f t="shared" ref="J201:J209" si="20">CHOOSE(MATCH($J$3,degrees),IF(F201&lt;0,G201+1,2),IF(F201&lt;0,2,2*G201),IF(F201&gt;0,2,2*G201),IF(F201&gt;0,G201+1,2))</f>
        <v>0</v>
      </c>
    </row>
    <row r="202" spans="6:10" ht="16">
      <c r="F202" s="129">
        <f t="shared" ref="F202:F209" si="21">F201+$G$4</f>
        <v>0.93000000000000138</v>
      </c>
      <c r="G202" s="130">
        <f t="shared" si="17"/>
        <v>0</v>
      </c>
      <c r="H202" s="130">
        <f t="shared" si="18"/>
        <v>0</v>
      </c>
      <c r="I202" s="130">
        <f t="shared" si="19"/>
        <v>1</v>
      </c>
      <c r="J202" s="119">
        <f t="shared" si="20"/>
        <v>0</v>
      </c>
    </row>
    <row r="203" spans="6:10" ht="16">
      <c r="F203" s="129">
        <f t="shared" si="21"/>
        <v>0.94000000000000139</v>
      </c>
      <c r="G203" s="130">
        <f t="shared" si="17"/>
        <v>0</v>
      </c>
      <c r="H203" s="130">
        <f t="shared" si="18"/>
        <v>0</v>
      </c>
      <c r="I203" s="130">
        <f t="shared" si="19"/>
        <v>1</v>
      </c>
      <c r="J203" s="119">
        <f t="shared" si="20"/>
        <v>0</v>
      </c>
    </row>
    <row r="204" spans="6:10" ht="16">
      <c r="F204" s="129">
        <f t="shared" si="21"/>
        <v>0.9500000000000014</v>
      </c>
      <c r="G204" s="130">
        <f t="shared" si="17"/>
        <v>0</v>
      </c>
      <c r="H204" s="130">
        <f t="shared" si="18"/>
        <v>0</v>
      </c>
      <c r="I204" s="130">
        <f t="shared" si="19"/>
        <v>1</v>
      </c>
      <c r="J204" s="119">
        <f t="shared" si="20"/>
        <v>0</v>
      </c>
    </row>
    <row r="205" spans="6:10" ht="16">
      <c r="F205" s="129">
        <f t="shared" si="21"/>
        <v>0.96000000000000141</v>
      </c>
      <c r="G205" s="130">
        <f t="shared" si="17"/>
        <v>0</v>
      </c>
      <c r="H205" s="130">
        <f t="shared" si="18"/>
        <v>0</v>
      </c>
      <c r="I205" s="130">
        <f t="shared" si="19"/>
        <v>1</v>
      </c>
      <c r="J205" s="119">
        <f t="shared" si="20"/>
        <v>0</v>
      </c>
    </row>
    <row r="206" spans="6:10" ht="16">
      <c r="F206" s="129">
        <f t="shared" si="21"/>
        <v>0.97000000000000142</v>
      </c>
      <c r="G206" s="130">
        <f t="shared" si="17"/>
        <v>0</v>
      </c>
      <c r="H206" s="130">
        <f t="shared" si="18"/>
        <v>0</v>
      </c>
      <c r="I206" s="130">
        <f t="shared" si="19"/>
        <v>1</v>
      </c>
      <c r="J206" s="119">
        <f t="shared" si="20"/>
        <v>0</v>
      </c>
    </row>
    <row r="207" spans="6:10" ht="16">
      <c r="F207" s="129">
        <f t="shared" si="21"/>
        <v>0.98000000000000143</v>
      </c>
      <c r="G207" s="130">
        <f t="shared" si="17"/>
        <v>0</v>
      </c>
      <c r="H207" s="130">
        <f t="shared" si="18"/>
        <v>0</v>
      </c>
      <c r="I207" s="130">
        <f t="shared" si="19"/>
        <v>1</v>
      </c>
      <c r="J207" s="119">
        <f t="shared" si="20"/>
        <v>0</v>
      </c>
    </row>
    <row r="208" spans="6:10" ht="16">
      <c r="F208" s="129">
        <f t="shared" si="21"/>
        <v>0.99000000000000143</v>
      </c>
      <c r="G208" s="130">
        <f t="shared" si="17"/>
        <v>0</v>
      </c>
      <c r="H208" s="130">
        <f t="shared" si="18"/>
        <v>0</v>
      </c>
      <c r="I208" s="130">
        <f t="shared" si="19"/>
        <v>1</v>
      </c>
      <c r="J208" s="119">
        <f t="shared" si="20"/>
        <v>0</v>
      </c>
    </row>
    <row r="209" spans="6:10" ht="16">
      <c r="F209" s="147">
        <f t="shared" si="21"/>
        <v>1.0000000000000013</v>
      </c>
      <c r="G209" s="148">
        <f t="shared" si="17"/>
        <v>0</v>
      </c>
      <c r="H209" s="148">
        <f t="shared" si="18"/>
        <v>0</v>
      </c>
      <c r="I209" s="148">
        <f t="shared" si="19"/>
        <v>1</v>
      </c>
      <c r="J209" s="149">
        <f t="shared" si="20"/>
        <v>0</v>
      </c>
    </row>
  </sheetData>
  <sheetProtection sheet="1" objects="1" scenarios="1"/>
  <pageMargins left="0.75" right="0.75" top="1" bottom="1" header="0.5" footer="0.5"/>
  <pageSetup paperSize="8" scale="150" orientation="landscape" horizontalDpi="300" verticalDpi="0" copies="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672AC-B27D-ED45-9B2D-D6A4BF77C3B3}">
  <dimension ref="B2"/>
  <sheetViews>
    <sheetView showGridLines="0" workbookViewId="0">
      <selection activeCell="E2" sqref="E2"/>
    </sheetView>
  </sheetViews>
  <sheetFormatPr baseColWidth="10" defaultRowHeight="16"/>
  <cols>
    <col min="1" max="16384" width="10.83203125" style="33"/>
  </cols>
  <sheetData>
    <row r="2" spans="2:2" ht="19">
      <c r="B2" s="32" t="s">
        <v>213</v>
      </c>
    </row>
  </sheetData>
  <sheetProtection sheet="1" objects="1" scenarios="1"/>
  <hyperlinks>
    <hyperlink ref="B2" r:id="rId1" xr:uid="{66DA8CB4-2AD9-1C4A-B4A2-159683951779}"/>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41665-7819-AD4A-940F-5735805278C0}">
  <dimension ref="B3:I15"/>
  <sheetViews>
    <sheetView showGridLines="0" workbookViewId="0">
      <selection activeCell="E13" sqref="E13"/>
    </sheetView>
  </sheetViews>
  <sheetFormatPr baseColWidth="10" defaultRowHeight="16"/>
  <cols>
    <col min="1" max="1" width="10.83203125" style="40"/>
    <col min="2" max="2" width="20.83203125" style="45" customWidth="1"/>
    <col min="3" max="3" width="100.83203125" style="40" customWidth="1"/>
    <col min="4" max="4" width="10.83203125" style="45"/>
    <col min="5" max="5" width="40.83203125" style="45" customWidth="1"/>
    <col min="6" max="6" width="12.83203125" style="45" customWidth="1"/>
    <col min="7" max="16384" width="10.83203125" style="40"/>
  </cols>
  <sheetData>
    <row r="3" spans="2:9">
      <c r="B3" s="37" t="s">
        <v>215</v>
      </c>
      <c r="C3" s="38" t="s">
        <v>216</v>
      </c>
      <c r="D3" s="37" t="s">
        <v>217</v>
      </c>
      <c r="E3" s="37" t="s">
        <v>214</v>
      </c>
      <c r="F3" s="39" t="s">
        <v>218</v>
      </c>
    </row>
    <row r="4" spans="2:9" s="43" customFormat="1" ht="75" customHeight="1">
      <c r="B4" s="41" t="s">
        <v>219</v>
      </c>
      <c r="C4" s="42" t="s">
        <v>220</v>
      </c>
      <c r="D4" s="41" t="s">
        <v>17</v>
      </c>
      <c r="E4" s="41">
        <f>VLOOKUP(D4,Visibility!F8:J117,4,FALSE)</f>
        <v>-19.738460161895439</v>
      </c>
      <c r="F4" s="41"/>
    </row>
    <row r="5" spans="2:9" s="43" customFormat="1" ht="75" customHeight="1">
      <c r="B5" s="41" t="s">
        <v>221</v>
      </c>
      <c r="C5" s="42" t="s">
        <v>222</v>
      </c>
      <c r="D5" s="41" t="s">
        <v>56</v>
      </c>
      <c r="E5" s="41">
        <f>VLOOKUP(D5,Visibility!F9:J118,4,FALSE)</f>
        <v>40.677944734464425</v>
      </c>
      <c r="F5" s="41"/>
    </row>
    <row r="6" spans="2:9" s="43" customFormat="1" ht="75" customHeight="1">
      <c r="B6" s="41" t="s">
        <v>223</v>
      </c>
      <c r="C6" s="42" t="s">
        <v>224</v>
      </c>
      <c r="D6" s="41" t="s">
        <v>104</v>
      </c>
      <c r="E6" s="41">
        <f>VLOOKUP(D6,Visibility!F10:J119,4,FALSE)</f>
        <v>-64.256648397518319</v>
      </c>
      <c r="F6" s="41"/>
      <c r="G6" s="40"/>
    </row>
    <row r="7" spans="2:9" s="43" customFormat="1" ht="75" customHeight="1">
      <c r="B7" s="41" t="s">
        <v>225</v>
      </c>
      <c r="C7" s="42" t="s">
        <v>226</v>
      </c>
      <c r="D7" s="41" t="s">
        <v>106</v>
      </c>
      <c r="E7" s="41">
        <f>VLOOKUP(D7,Visibility!F11:J120,4,FALSE)</f>
        <v>-46.600885820077821</v>
      </c>
      <c r="F7" s="41"/>
      <c r="I7" s="40"/>
    </row>
    <row r="8" spans="2:9" s="43" customFormat="1" ht="75" customHeight="1">
      <c r="B8" s="41" t="s">
        <v>227</v>
      </c>
      <c r="C8" s="42" t="s">
        <v>228</v>
      </c>
      <c r="D8" s="41" t="s">
        <v>73</v>
      </c>
      <c r="E8" s="41">
        <f>VLOOKUP(D8,Visibility!F12:J121,4,FALSE)</f>
        <v>24.927898186807482</v>
      </c>
      <c r="F8" s="41"/>
    </row>
    <row r="9" spans="2:9" s="43" customFormat="1" ht="75" customHeight="1">
      <c r="B9" s="41" t="s">
        <v>229</v>
      </c>
      <c r="C9" s="42" t="s">
        <v>230</v>
      </c>
      <c r="D9" s="41" t="s">
        <v>158</v>
      </c>
      <c r="E9" s="41">
        <f>VLOOKUP(D9,Visibility!F13:J122,4,FALSE)</f>
        <v>27.065779821173379</v>
      </c>
      <c r="F9" s="41"/>
    </row>
    <row r="10" spans="2:9" s="43" customFormat="1" ht="75" customHeight="1">
      <c r="B10" s="41" t="s">
        <v>231</v>
      </c>
      <c r="C10" s="42" t="s">
        <v>232</v>
      </c>
      <c r="D10" s="41" t="s">
        <v>155</v>
      </c>
      <c r="E10" s="41">
        <f>VLOOKUP(D10,Visibility!F14:J123,4,FALSE)</f>
        <v>2.1955420041076983</v>
      </c>
      <c r="F10" s="41"/>
    </row>
    <row r="11" spans="2:9" s="43" customFormat="1" ht="75" customHeight="1">
      <c r="B11" s="41" t="s">
        <v>233</v>
      </c>
      <c r="C11" s="42" t="s">
        <v>234</v>
      </c>
      <c r="D11" s="41" t="s">
        <v>175</v>
      </c>
      <c r="E11" s="41">
        <f>VLOOKUP(D11,Visibility!F15:J124,4,FALSE)</f>
        <v>7.1771407163463916</v>
      </c>
      <c r="F11" s="41"/>
      <c r="H11" s="40"/>
    </row>
    <row r="12" spans="2:9" s="43" customFormat="1" ht="75" customHeight="1">
      <c r="B12" s="41" t="s">
        <v>235</v>
      </c>
      <c r="C12" s="42" t="s">
        <v>236</v>
      </c>
      <c r="D12" s="41" t="s">
        <v>102</v>
      </c>
      <c r="E12" s="41">
        <f>VLOOKUP(D12,Visibility!F16:J125,4,FALSE)</f>
        <v>35.799067127552185</v>
      </c>
      <c r="F12" s="41"/>
    </row>
    <row r="13" spans="2:9" s="43" customFormat="1" ht="75" customHeight="1">
      <c r="B13" s="41" t="s">
        <v>237</v>
      </c>
      <c r="C13" s="42" t="s">
        <v>238</v>
      </c>
      <c r="D13" s="41" t="s">
        <v>153</v>
      </c>
      <c r="E13" s="41">
        <f>VLOOKUP(D13,Visibility!F17:J126,4,FALSE)</f>
        <v>23.327037338114664</v>
      </c>
      <c r="F13" s="41"/>
    </row>
    <row r="14" spans="2:9" s="43" customFormat="1" ht="75" customHeight="1">
      <c r="B14" s="41" t="s">
        <v>239</v>
      </c>
      <c r="C14" s="42" t="s">
        <v>240</v>
      </c>
      <c r="D14" s="41" t="s">
        <v>168</v>
      </c>
      <c r="E14" s="41">
        <f>VLOOKUP(D14,Visibility!F18:J127,4,FALSE)</f>
        <v>31.439240501301821</v>
      </c>
      <c r="F14" s="41"/>
    </row>
    <row r="15" spans="2:9" s="43" customFormat="1" ht="75" customHeight="1">
      <c r="B15" s="44" t="s">
        <v>241</v>
      </c>
      <c r="C15" s="42" t="s">
        <v>242</v>
      </c>
      <c r="D15" s="41" t="s">
        <v>197</v>
      </c>
      <c r="E15" s="41">
        <f>VLOOKUP(D15,Visibility!F19:J128,4,FALSE)</f>
        <v>55.968458250992342</v>
      </c>
      <c r="F15" s="41"/>
    </row>
  </sheetData>
  <sheetProtection sheet="1" objects="1" scenarios="1"/>
  <pageMargins left="0.7" right="0.7" top="0.75" bottom="0.75" header="0.3" footer="0.3"/>
  <pageSetup paperSize="9" orientation="portrait" horizontalDpi="0" verticalDpi="0"/>
  <drawing r:id="rId1"/>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Introduction</vt:lpstr>
      <vt:lpstr>Visibility</vt:lpstr>
      <vt:lpstr>Illumination</vt:lpstr>
      <vt:lpstr>Catalogue</vt:lpstr>
      <vt:lpstr>Types</vt:lpstr>
      <vt:lpstr>Visibility!Print_Area</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Messier 110 Objects</dc:title>
  <dc:subject/>
  <dc:creator>Anton Viola</dc:creator>
  <cp:keywords/>
  <dc:description/>
  <cp:lastModifiedBy>Anton Viola</cp:lastModifiedBy>
  <dcterms:created xsi:type="dcterms:W3CDTF">2009-01-01T15:24:05Z</dcterms:created>
  <dcterms:modified xsi:type="dcterms:W3CDTF">2024-08-09T07:41:39Z</dcterms:modified>
  <cp:category/>
</cp:coreProperties>
</file>