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2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hanssassenburg/Library/CloudStorage/Dropbox/X_Private/20_Astronomy/Morsels/"/>
    </mc:Choice>
  </mc:AlternateContent>
  <xr:revisionPtr revIDLastSave="0" documentId="13_ncr:1_{8A8D02EC-FB11-F84C-92AE-EB5529F35AAD}" xr6:coauthVersionLast="47" xr6:coauthVersionMax="47" xr10:uidLastSave="{00000000-0000-0000-0000-000000000000}"/>
  <bookViews>
    <workbookView xWindow="12760" yWindow="5440" windowWidth="29940" windowHeight="19080" xr2:uid="{00000000-000D-0000-FFFF-FFFF00000000}"/>
  </bookViews>
  <sheets>
    <sheet name="Introduction" sheetId="9" r:id="rId1"/>
    <sheet name="Algorithm" sheetId="10" r:id="rId2"/>
    <sheet name="Algorithm, Examples" sheetId="11" r:id="rId3"/>
    <sheet name="Planned" sheetId="1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3" i="10" l="1"/>
  <c r="C12" i="10" l="1"/>
  <c r="C9" i="10"/>
  <c r="C8" i="10"/>
  <c r="C7" i="10"/>
  <c r="C10" i="10" l="1"/>
  <c r="C11" i="10" s="1"/>
  <c r="C13" i="10" s="1"/>
  <c r="C19" i="10" l="1"/>
  <c r="C20" i="10" s="1"/>
  <c r="C21" i="10" s="1"/>
  <c r="C22" i="10" l="1"/>
  <c r="C39" i="10"/>
  <c r="C16" i="10" s="1"/>
  <c r="C25" i="10"/>
  <c r="C24" i="10"/>
  <c r="C45" i="10" s="1"/>
  <c r="C32" i="10"/>
  <c r="C28" i="10"/>
  <c r="C29" i="10"/>
  <c r="C30" i="10"/>
  <c r="C26" i="10"/>
  <c r="C27" i="10"/>
  <c r="C31" i="10"/>
  <c r="C40" i="10" l="1"/>
  <c r="C33" i="10"/>
  <c r="C34" i="10" s="1"/>
  <c r="C35" i="10" s="1"/>
  <c r="C44" i="10" s="1"/>
  <c r="C46" i="10" l="1"/>
  <c r="C47" i="10"/>
  <c r="C37" i="10"/>
  <c r="C38" i="10" l="1"/>
  <c r="C41" i="10" s="1"/>
  <c r="C42" i="10"/>
  <c r="C48" i="10" l="1"/>
  <c r="C49" i="10" s="1"/>
  <c r="C52" i="10" s="1"/>
  <c r="C53" i="10" s="1"/>
  <c r="C50" i="10"/>
  <c r="C51" i="10" s="1"/>
</calcChain>
</file>

<file path=xl/sharedStrings.xml><?xml version="1.0" encoding="utf-8"?>
<sst xmlns="http://schemas.openxmlformats.org/spreadsheetml/2006/main" count="72" uniqueCount="70">
  <si>
    <t>Email</t>
  </si>
  <si>
    <t>All Rights Reserved:  © Astronomy Morsels.</t>
  </si>
  <si>
    <t>I'm solely responsible for the input and express no warranty.  Use at your own risk.</t>
  </si>
  <si>
    <t>Nonetheless, this spreadsheet has been carefully reviewed, and calculation results have been compared with other applications.</t>
  </si>
  <si>
    <r>
      <rPr>
        <b/>
        <sz val="14"/>
        <color theme="0"/>
        <rFont val="Calibri (Body)"/>
      </rPr>
      <t>Compiled by</t>
    </r>
    <r>
      <rPr>
        <sz val="14"/>
        <color theme="0"/>
        <rFont val="Calibri (Body)"/>
      </rPr>
      <t>: Anton Viola (Astronomy Morsels).</t>
    </r>
  </si>
  <si>
    <r>
      <rPr>
        <b/>
        <sz val="14"/>
        <color theme="0"/>
        <rFont val="Calibri (Body)"/>
      </rPr>
      <t>Latest update</t>
    </r>
    <r>
      <rPr>
        <sz val="14"/>
        <color theme="0"/>
        <rFont val="Calibri (Body)"/>
      </rPr>
      <t>: 3rd May, 2024.</t>
    </r>
  </si>
  <si>
    <t>Source</t>
  </si>
  <si>
    <t>Inputs</t>
  </si>
  <si>
    <t>Year</t>
  </si>
  <si>
    <t>Month</t>
  </si>
  <si>
    <t>Day</t>
  </si>
  <si>
    <t>Leap year?</t>
  </si>
  <si>
    <t>Day number</t>
  </si>
  <si>
    <t>Day fraction</t>
  </si>
  <si>
    <t>JDE</t>
  </si>
  <si>
    <t>J2000</t>
  </si>
  <si>
    <t>M</t>
  </si>
  <si>
    <r>
      <t>α</t>
    </r>
    <r>
      <rPr>
        <vertAlign val="subscript"/>
        <sz val="11"/>
        <color theme="1"/>
        <rFont val="Calibri (Body)"/>
      </rPr>
      <t>FMS</t>
    </r>
  </si>
  <si>
    <r>
      <t>PBS</t>
    </r>
    <r>
      <rPr>
        <vertAlign val="subscript"/>
        <sz val="11"/>
        <color theme="1"/>
        <rFont val="Calibri (Body)"/>
      </rPr>
      <t>1</t>
    </r>
  </si>
  <si>
    <r>
      <t>PBS</t>
    </r>
    <r>
      <rPr>
        <vertAlign val="subscript"/>
        <sz val="11"/>
        <color theme="1"/>
        <rFont val="Calibri (Body)"/>
      </rPr>
      <t>2</t>
    </r>
    <r>
      <rPr>
        <sz val="12"/>
        <color theme="1"/>
        <rFont val="Calibri"/>
        <family val="2"/>
        <scheme val="minor"/>
      </rPr>
      <t/>
    </r>
  </si>
  <si>
    <r>
      <t>PBS</t>
    </r>
    <r>
      <rPr>
        <vertAlign val="subscript"/>
        <sz val="11"/>
        <color theme="1"/>
        <rFont val="Calibri (Body)"/>
      </rPr>
      <t>3</t>
    </r>
    <r>
      <rPr>
        <sz val="12"/>
        <color theme="1"/>
        <rFont val="Calibri"/>
        <family val="2"/>
        <scheme val="minor"/>
      </rPr>
      <t/>
    </r>
  </si>
  <si>
    <r>
      <t>PBS</t>
    </r>
    <r>
      <rPr>
        <vertAlign val="subscript"/>
        <sz val="11"/>
        <color theme="1"/>
        <rFont val="Calibri (Body)"/>
      </rPr>
      <t>4</t>
    </r>
    <r>
      <rPr>
        <sz val="12"/>
        <color theme="1"/>
        <rFont val="Calibri"/>
        <family val="2"/>
        <scheme val="minor"/>
      </rPr>
      <t/>
    </r>
  </si>
  <si>
    <r>
      <t>PBS</t>
    </r>
    <r>
      <rPr>
        <vertAlign val="subscript"/>
        <sz val="11"/>
        <color theme="1"/>
        <rFont val="Calibri (Body)"/>
      </rPr>
      <t>5</t>
    </r>
    <r>
      <rPr>
        <sz val="12"/>
        <color theme="1"/>
        <rFont val="Calibri"/>
        <family val="2"/>
        <scheme val="minor"/>
      </rPr>
      <t/>
    </r>
  </si>
  <si>
    <r>
      <t>PBS</t>
    </r>
    <r>
      <rPr>
        <vertAlign val="subscript"/>
        <sz val="11"/>
        <color theme="1"/>
        <rFont val="Calibri (Body)"/>
      </rPr>
      <t>6</t>
    </r>
    <r>
      <rPr>
        <sz val="12"/>
        <color theme="1"/>
        <rFont val="Calibri"/>
        <family val="2"/>
        <scheme val="minor"/>
      </rPr>
      <t/>
    </r>
  </si>
  <si>
    <r>
      <t>PBS</t>
    </r>
    <r>
      <rPr>
        <vertAlign val="subscript"/>
        <sz val="11"/>
        <color theme="1"/>
        <rFont val="Calibri (Body)"/>
      </rPr>
      <t>7</t>
    </r>
    <r>
      <rPr>
        <sz val="12"/>
        <color theme="1"/>
        <rFont val="Calibri"/>
        <family val="2"/>
        <scheme val="minor"/>
      </rPr>
      <t/>
    </r>
  </si>
  <si>
    <t>v - M</t>
  </si>
  <si>
    <r>
      <t>L</t>
    </r>
    <r>
      <rPr>
        <vertAlign val="subscript"/>
        <sz val="11"/>
        <color theme="1"/>
        <rFont val="Calibri (Body)"/>
      </rPr>
      <t>s</t>
    </r>
  </si>
  <si>
    <r>
      <t>P</t>
    </r>
    <r>
      <rPr>
        <vertAlign val="subscript"/>
        <sz val="11"/>
        <color theme="1"/>
        <rFont val="Calibri (Body)"/>
      </rPr>
      <t>sum</t>
    </r>
  </si>
  <si>
    <t>MST</t>
  </si>
  <si>
    <t>LMST</t>
  </si>
  <si>
    <t>LTST</t>
  </si>
  <si>
    <r>
      <t>Λ</t>
    </r>
    <r>
      <rPr>
        <vertAlign val="subscript"/>
        <sz val="11"/>
        <color theme="1"/>
        <rFont val="Calibri (Body)"/>
      </rPr>
      <t>s</t>
    </r>
  </si>
  <si>
    <r>
      <t>I</t>
    </r>
    <r>
      <rPr>
        <vertAlign val="subscript"/>
        <sz val="11"/>
        <color theme="1"/>
        <rFont val="Calibri (Body)"/>
      </rPr>
      <t>M</t>
    </r>
  </si>
  <si>
    <t>T</t>
  </si>
  <si>
    <t>TT - UTC</t>
  </si>
  <si>
    <r>
      <t>JD</t>
    </r>
    <r>
      <rPr>
        <vertAlign val="subscript"/>
        <sz val="11"/>
        <color theme="1"/>
        <rFont val="Calibri (Body)"/>
      </rPr>
      <t>TT</t>
    </r>
  </si>
  <si>
    <r>
      <t>Δt</t>
    </r>
    <r>
      <rPr>
        <b/>
        <vertAlign val="subscript"/>
        <sz val="14"/>
        <color theme="1"/>
        <rFont val="Arial"/>
        <family val="2"/>
      </rPr>
      <t>J2000</t>
    </r>
  </si>
  <si>
    <t>P</t>
  </si>
  <si>
    <t>EOT (degrees)</t>
  </si>
  <si>
    <t>EOT (hours)</t>
  </si>
  <si>
    <t>Λ</t>
  </si>
  <si>
    <t>planetographic longitude</t>
  </si>
  <si>
    <t>planetographic latitude</t>
  </si>
  <si>
    <t>Algorithm</t>
  </si>
  <si>
    <t>Example 1</t>
  </si>
  <si>
    <t>Example 2</t>
  </si>
  <si>
    <r>
      <t>b</t>
    </r>
    <r>
      <rPr>
        <vertAlign val="subscript"/>
        <sz val="11"/>
        <color theme="1"/>
        <rFont val="Calibri (Body)"/>
      </rPr>
      <t>M</t>
    </r>
  </si>
  <si>
    <t>solar declination</t>
  </si>
  <si>
    <t>heliocentric longitude</t>
  </si>
  <si>
    <t>heliocentric latitude</t>
  </si>
  <si>
    <t>local solar elevation</t>
  </si>
  <si>
    <t>local solar azimuth</t>
  </si>
  <si>
    <t>Z (radians)</t>
  </si>
  <si>
    <t>Z (degrees)</t>
  </si>
  <si>
    <t>φ</t>
  </si>
  <si>
    <t>A (radians)</t>
  </si>
  <si>
    <t>A (degrees)</t>
  </si>
  <si>
    <r>
      <t>R</t>
    </r>
    <r>
      <rPr>
        <vertAlign val="subscript"/>
        <sz val="11"/>
        <color theme="1"/>
        <rFont val="Calibri (Body)"/>
      </rPr>
      <t>M</t>
    </r>
    <r>
      <rPr>
        <sz val="11"/>
        <color theme="1"/>
        <rFont val="Calibri"/>
        <family val="2"/>
        <scheme val="minor"/>
      </rPr>
      <t xml:space="preserve"> (AU)</t>
    </r>
  </si>
  <si>
    <t xml:space="preserve">heliocentric distance </t>
  </si>
  <si>
    <t>δs (degrees)</t>
  </si>
  <si>
    <t>H (degrees)</t>
  </si>
  <si>
    <t>hour angle</t>
  </si>
  <si>
    <t>H (radians)</t>
  </si>
  <si>
    <t>(use atan2?)</t>
  </si>
  <si>
    <t>Mars is a planet with a very similar daily cycle to the Earth. Its sidereal day is 24 hours, 37 minutes and 22 seconds, and its solar day 24 hours, 39 minutes and 35 seconds. A Martian day (referred to as “sol”) is therefore approximately 40 minutes longer than a day on Earth. This spreadsheet calculates the mean solar time at the prime meridian.</t>
  </si>
  <si>
    <t>V1.0</t>
  </si>
  <si>
    <t>Mean solar time at prime meridian</t>
  </si>
  <si>
    <t>Earth Date</t>
  </si>
  <si>
    <t>Earth Time</t>
  </si>
  <si>
    <t>To do: built MARS24 Sunclock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</si>
</sst>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yy;@"/>
    <numFmt numFmtId="165" formatCode="[$]hh:mm:ss;@" x16r2:formatCode16="[$-en-CH,1]hh:mm:ss;@"/>
    <numFmt numFmtId="166" formatCode="#,##0.0000"/>
    <numFmt numFmtId="167" formatCode="#,##0.00000"/>
    <numFmt numFmtId="168" formatCode="0.00000"/>
  </numFmts>
  <fonts count="3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4"/>
      <color theme="0"/>
      <name val="Calibri"/>
      <family val="2"/>
    </font>
    <font>
      <sz val="14"/>
      <color theme="0"/>
      <name val="Calibri (Body)"/>
    </font>
    <font>
      <b/>
      <sz val="14"/>
      <color theme="0"/>
      <name val="Calibri (Body)"/>
    </font>
    <font>
      <u/>
      <sz val="14"/>
      <color theme="0"/>
      <name val="Calibri"/>
      <family val="2"/>
      <scheme val="minor"/>
    </font>
    <font>
      <u/>
      <sz val="14"/>
      <color theme="0"/>
      <name val="Calibri (Body)"/>
    </font>
    <font>
      <u/>
      <sz val="12"/>
      <color theme="0"/>
      <name val="Calibri"/>
      <family val="2"/>
    </font>
    <font>
      <sz val="9"/>
      <color theme="0"/>
      <name val="Calibri"/>
      <family val="2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  <scheme val="minor"/>
    </font>
    <font>
      <vertAlign val="subscript"/>
      <sz val="11"/>
      <color theme="1"/>
      <name val="Calibri (Body)"/>
    </font>
    <font>
      <sz val="8"/>
      <name val="Calibri"/>
      <family val="2"/>
      <scheme val="minor"/>
    </font>
    <font>
      <b/>
      <vertAlign val="subscript"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b/>
      <u/>
      <sz val="14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rgb="FF000000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1" fillId="0" borderId="0"/>
  </cellStyleXfs>
  <cellXfs count="67">
    <xf numFmtId="0" fontId="0" fillId="0" borderId="0" xfId="0"/>
    <xf numFmtId="0" fontId="8" fillId="3" borderId="1" xfId="41" applyFont="1" applyFill="1" applyBorder="1" applyAlignment="1">
      <alignment horizontal="left"/>
    </xf>
    <xf numFmtId="0" fontId="8" fillId="3" borderId="2" xfId="41" applyFont="1" applyFill="1" applyBorder="1" applyAlignment="1">
      <alignment horizontal="center"/>
    </xf>
    <xf numFmtId="0" fontId="8" fillId="3" borderId="2" xfId="41" applyFont="1" applyFill="1" applyBorder="1"/>
    <xf numFmtId="0" fontId="10" fillId="3" borderId="3" xfId="42" applyFont="1" applyFill="1" applyBorder="1" applyAlignment="1">
      <alignment horizontal="center"/>
    </xf>
    <xf numFmtId="0" fontId="11" fillId="3" borderId="4" xfId="42" applyFont="1" applyFill="1" applyBorder="1" applyAlignment="1">
      <alignment horizontal="left"/>
    </xf>
    <xf numFmtId="0" fontId="8" fillId="3" borderId="0" xfId="41" applyFont="1" applyFill="1" applyAlignment="1">
      <alignment horizontal="center"/>
    </xf>
    <xf numFmtId="0" fontId="8" fillId="3" borderId="0" xfId="41" applyFont="1" applyFill="1"/>
    <xf numFmtId="0" fontId="8" fillId="3" borderId="5" xfId="41" applyFont="1" applyFill="1" applyBorder="1" applyAlignment="1">
      <alignment horizontal="center"/>
    </xf>
    <xf numFmtId="0" fontId="8" fillId="3" borderId="6" xfId="42" applyFont="1" applyFill="1" applyBorder="1" applyAlignment="1">
      <alignment horizontal="left"/>
    </xf>
    <xf numFmtId="0" fontId="8" fillId="3" borderId="8" xfId="42" applyFont="1" applyFill="1" applyBorder="1" applyAlignment="1">
      <alignment horizontal="left"/>
    </xf>
    <xf numFmtId="0" fontId="8" fillId="3" borderId="8" xfId="41" applyFont="1" applyFill="1" applyBorder="1"/>
    <xf numFmtId="0" fontId="9" fillId="3" borderId="7" xfId="41" applyFont="1" applyFill="1" applyBorder="1" applyAlignment="1">
      <alignment horizontal="center"/>
    </xf>
    <xf numFmtId="0" fontId="14" fillId="0" borderId="0" xfId="43" applyFont="1"/>
    <xf numFmtId="0" fontId="15" fillId="0" borderId="0" xfId="41" applyFont="1"/>
    <xf numFmtId="0" fontId="16" fillId="4" borderId="0" xfId="41" applyFont="1" applyFill="1" applyAlignment="1">
      <alignment horizontal="center"/>
    </xf>
    <xf numFmtId="164" fontId="17" fillId="4" borderId="12" xfId="41" applyNumberFormat="1" applyFont="1" applyFill="1" applyBorder="1" applyAlignment="1" applyProtection="1">
      <alignment horizontal="center"/>
      <protection locked="0"/>
    </xf>
    <xf numFmtId="165" fontId="16" fillId="4" borderId="12" xfId="41" applyNumberFormat="1" applyFont="1" applyFill="1" applyBorder="1" applyAlignment="1" applyProtection="1">
      <alignment horizontal="center"/>
      <protection locked="0"/>
    </xf>
    <xf numFmtId="0" fontId="15" fillId="0" borderId="12" xfId="41" applyFont="1" applyBorder="1" applyAlignment="1">
      <alignment horizontal="center"/>
    </xf>
    <xf numFmtId="0" fontId="18" fillId="6" borderId="12" xfId="41" applyFont="1" applyFill="1" applyBorder="1" applyAlignment="1">
      <alignment horizontal="center"/>
    </xf>
    <xf numFmtId="0" fontId="19" fillId="6" borderId="12" xfId="41" applyFont="1" applyFill="1" applyBorder="1" applyAlignment="1">
      <alignment horizontal="center"/>
    </xf>
    <xf numFmtId="0" fontId="15" fillId="5" borderId="12" xfId="41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166" fontId="2" fillId="0" borderId="12" xfId="0" applyNumberFormat="1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167" fontId="20" fillId="0" borderId="12" xfId="0" applyNumberFormat="1" applyFont="1" applyBorder="1"/>
    <xf numFmtId="0" fontId="16" fillId="0" borderId="12" xfId="41" applyFont="1" applyBorder="1" applyAlignment="1">
      <alignment horizontal="center"/>
    </xf>
    <xf numFmtId="0" fontId="17" fillId="5" borderId="12" xfId="41" applyFont="1" applyFill="1" applyBorder="1" applyAlignment="1">
      <alignment horizontal="center"/>
    </xf>
    <xf numFmtId="168" fontId="16" fillId="4" borderId="12" xfId="41" applyNumberFormat="1" applyFont="1" applyFill="1" applyBorder="1" applyAlignment="1" applyProtection="1">
      <alignment horizontal="center"/>
      <protection locked="0"/>
    </xf>
    <xf numFmtId="168" fontId="17" fillId="8" borderId="12" xfId="41" applyNumberFormat="1" applyFont="1" applyFill="1" applyBorder="1" applyAlignment="1">
      <alignment horizontal="center"/>
    </xf>
    <xf numFmtId="0" fontId="27" fillId="0" borderId="0" xfId="0" applyFont="1"/>
    <xf numFmtId="18" fontId="0" fillId="0" borderId="0" xfId="0" applyNumberFormat="1"/>
    <xf numFmtId="0" fontId="0" fillId="7" borderId="1" xfId="0" applyFill="1" applyBorder="1"/>
    <xf numFmtId="0" fontId="0" fillId="7" borderId="3" xfId="0" applyFill="1" applyBorder="1"/>
    <xf numFmtId="0" fontId="0" fillId="7" borderId="4" xfId="0" applyFill="1" applyBorder="1"/>
    <xf numFmtId="167" fontId="0" fillId="7" borderId="5" xfId="0" applyNumberFormat="1" applyFill="1" applyBorder="1"/>
    <xf numFmtId="0" fontId="0" fillId="7" borderId="6" xfId="0" applyFill="1" applyBorder="1"/>
    <xf numFmtId="167" fontId="0" fillId="7" borderId="7" xfId="0" applyNumberFormat="1" applyFill="1" applyBorder="1"/>
    <xf numFmtId="167" fontId="0" fillId="7" borderId="3" xfId="0" applyNumberFormat="1" applyFill="1" applyBorder="1"/>
    <xf numFmtId="167" fontId="0" fillId="7" borderId="2" xfId="0" applyNumberFormat="1" applyFill="1" applyBorder="1"/>
    <xf numFmtId="0" fontId="0" fillId="7" borderId="3" xfId="0" applyFill="1" applyBorder="1" applyAlignment="1">
      <alignment horizontal="left" vertical="center"/>
    </xf>
    <xf numFmtId="167" fontId="0" fillId="7" borderId="0" xfId="0" applyNumberFormat="1" applyFill="1"/>
    <xf numFmtId="0" fontId="0" fillId="7" borderId="5" xfId="0" applyFill="1" applyBorder="1"/>
    <xf numFmtId="167" fontId="26" fillId="7" borderId="0" xfId="0" applyNumberFormat="1" applyFont="1" applyFill="1"/>
    <xf numFmtId="167" fontId="26" fillId="7" borderId="8" xfId="0" applyNumberFormat="1" applyFont="1" applyFill="1" applyBorder="1"/>
    <xf numFmtId="0" fontId="27" fillId="0" borderId="0" xfId="0" applyFont="1" applyAlignment="1">
      <alignment horizontal="right"/>
    </xf>
    <xf numFmtId="0" fontId="7" fillId="3" borderId="0" xfId="41" applyFont="1" applyFill="1" applyAlignment="1">
      <alignment horizontal="center" vertical="center" wrapText="1"/>
    </xf>
    <xf numFmtId="0" fontId="12" fillId="3" borderId="1" xfId="42" applyFont="1" applyFill="1" applyBorder="1" applyAlignment="1">
      <alignment horizontal="center"/>
    </xf>
    <xf numFmtId="0" fontId="12" fillId="3" borderId="2" xfId="42" applyFont="1" applyFill="1" applyBorder="1" applyAlignment="1">
      <alignment horizontal="center"/>
    </xf>
    <xf numFmtId="0" fontId="12" fillId="3" borderId="9" xfId="42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3" borderId="11" xfId="0" applyFont="1" applyFill="1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7" borderId="5" xfId="0" applyFill="1" applyBorder="1" applyAlignment="1">
      <alignment horizontal="left" vertical="center"/>
    </xf>
    <xf numFmtId="0" fontId="0" fillId="7" borderId="7" xfId="0" applyFill="1" applyBorder="1" applyAlignment="1">
      <alignment horizontal="left" vertical="center"/>
    </xf>
    <xf numFmtId="165" fontId="0" fillId="2" borderId="13" xfId="0" applyNumberFormat="1" applyFill="1" applyBorder="1" applyAlignment="1">
      <alignment horizontal="center" vertical="center"/>
    </xf>
    <xf numFmtId="165" fontId="0" fillId="2" borderId="14" xfId="0" applyNumberForma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9" fillId="0" borderId="0" xfId="43" applyFont="1" applyAlignment="1">
      <alignment horizontal="center"/>
    </xf>
    <xf numFmtId="0" fontId="3" fillId="3" borderId="0" xfId="41" applyFill="1"/>
    <xf numFmtId="0" fontId="28" fillId="3" borderId="2" xfId="43" applyFont="1" applyFill="1" applyBorder="1" applyAlignment="1">
      <alignment horizontal="center"/>
    </xf>
    <xf numFmtId="0" fontId="0" fillId="3" borderId="0" xfId="0" applyFill="1"/>
  </cellXfs>
  <cellStyles count="4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3" builtinId="8"/>
    <cellStyle name="Hyperlink 2" xfId="42" xr:uid="{C380AA0A-E10B-1C43-9286-02819B081BC7}"/>
    <cellStyle name="Normal" xfId="0" builtinId="0"/>
    <cellStyle name="Normal 2" xfId="41" xr:uid="{0D0AB34C-A1A9-7D42-A14C-E95ACB658DC4}"/>
    <cellStyle name="Normal 5" xfId="44" xr:uid="{5F83162F-0FEA-9249-9617-1A92E78F922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g"/><Relationship Id="rId1" Type="http://schemas.openxmlformats.org/officeDocument/2006/relationships/hyperlink" Target="https://www.astronomy-morsels.ch/morsels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g"/><Relationship Id="rId4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g"/><Relationship Id="rId7" Type="http://schemas.openxmlformats.org/officeDocument/2006/relationships/image" Target="../media/image13.jpg"/><Relationship Id="rId2" Type="http://schemas.openxmlformats.org/officeDocument/2006/relationships/image" Target="../media/image8.jpg"/><Relationship Id="rId1" Type="http://schemas.openxmlformats.org/officeDocument/2006/relationships/image" Target="../media/image7.jpg"/><Relationship Id="rId6" Type="http://schemas.openxmlformats.org/officeDocument/2006/relationships/image" Target="../media/image12.jpg"/><Relationship Id="rId5" Type="http://schemas.openxmlformats.org/officeDocument/2006/relationships/image" Target="../media/image11.jpg"/><Relationship Id="rId4" Type="http://schemas.openxmlformats.org/officeDocument/2006/relationships/image" Target="../media/image10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596900</xdr:colOff>
      <xdr:row>48</xdr:row>
      <xdr:rowOff>114300</xdr:rowOff>
    </xdr:from>
    <xdr:to>
      <xdr:col>9</xdr:col>
      <xdr:colOff>215900</xdr:colOff>
      <xdr:row>58</xdr:row>
      <xdr:rowOff>25400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6149BC-8520-4C4B-E9DC-263481011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7900" y="9969500"/>
          <a:ext cx="5397500" cy="1943100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18</xdr:row>
      <xdr:rowOff>61594</xdr:rowOff>
    </xdr:from>
    <xdr:to>
      <xdr:col>11</xdr:col>
      <xdr:colOff>165100</xdr:colOff>
      <xdr:row>40</xdr:row>
      <xdr:rowOff>165099</xdr:rowOff>
    </xdr:to>
    <xdr:pic>
      <xdr:nvPicPr>
        <xdr:cNvPr id="2" name="Picture 1" descr="NASA Scientists Need to Live and Work on &quot;Mars Time&quot;">
          <a:extLst>
            <a:ext uri="{FF2B5EF4-FFF2-40B4-BE49-F238E27FC236}">
              <a16:creationId xmlns:a16="http://schemas.microsoft.com/office/drawing/2014/main" id="{704E5E3A-C640-6CAA-7F2B-6D5BF2945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820794"/>
          <a:ext cx="8712200" cy="4573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124</xdr:row>
      <xdr:rowOff>114300</xdr:rowOff>
    </xdr:from>
    <xdr:to>
      <xdr:col>14</xdr:col>
      <xdr:colOff>342900</xdr:colOff>
      <xdr:row>155</xdr:row>
      <xdr:rowOff>172390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8DD1257-69BE-B97F-FFC4-A0C3C6FE4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7400" y="22974300"/>
          <a:ext cx="7772400" cy="596359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622426</xdr:colOff>
      <xdr:row>12</xdr:row>
      <xdr:rowOff>158750</xdr:rowOff>
    </xdr:to>
    <xdr:pic>
      <xdr:nvPicPr>
        <xdr:cNvPr id="6" name="Picture 15" descr="http://upload.wikimedia.org/wikipedia/commons/thumb/d/dd/Full_Moon_Luc_Viatour.jpg/100px-Full_Moon_Luc_Viatour.jpg" hidden="1">
          <a:extLst>
            <a:ext uri="{FF2B5EF4-FFF2-40B4-BE49-F238E27FC236}">
              <a16:creationId xmlns:a16="http://schemas.microsoft.com/office/drawing/2014/main" id="{CCA2996D-3C8A-C44A-A9E0-1F999C74B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163550" y="2235200"/>
          <a:ext cx="622426" cy="5651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624417</xdr:colOff>
      <xdr:row>12</xdr:row>
      <xdr:rowOff>92075</xdr:rowOff>
    </xdr:to>
    <xdr:pic>
      <xdr:nvPicPr>
        <xdr:cNvPr id="7" name="Picture 18" descr="http://upload.wikimedia.org/wikipedia/commons/thumb/7/76/Mars_Hubble.jpg/100px-Mars_Hubble.jpg" hidden="1">
          <a:extLst>
            <a:ext uri="{FF2B5EF4-FFF2-40B4-BE49-F238E27FC236}">
              <a16:creationId xmlns:a16="http://schemas.microsoft.com/office/drawing/2014/main" id="{856C5B01-5130-CF43-94DA-DC2492AF3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989050" y="2235200"/>
          <a:ext cx="624417" cy="4984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7</xdr:col>
      <xdr:colOff>106829</xdr:colOff>
      <xdr:row>15</xdr:row>
      <xdr:rowOff>138206</xdr:rowOff>
    </xdr:to>
    <xdr:pic>
      <xdr:nvPicPr>
        <xdr:cNvPr id="8" name="Picture 7" descr="Jupiter.jpg" hidden="1">
          <a:extLst>
            <a:ext uri="{FF2B5EF4-FFF2-40B4-BE49-F238E27FC236}">
              <a16:creationId xmlns:a16="http://schemas.microsoft.com/office/drawing/2014/main" id="{23E5720C-8F81-BD4E-BDAA-02FFA686F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76200" y="2235200"/>
          <a:ext cx="1757829" cy="11161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4</xdr:row>
      <xdr:rowOff>12700</xdr:rowOff>
    </xdr:from>
    <xdr:to>
      <xdr:col>19</xdr:col>
      <xdr:colOff>800100</xdr:colOff>
      <xdr:row>44</xdr:row>
      <xdr:rowOff>154394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E6380E-9DD0-7A97-352C-0A2DE93E0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80500" y="825500"/>
          <a:ext cx="7404100" cy="776169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21</xdr:col>
      <xdr:colOff>0</xdr:colOff>
      <xdr:row>4</xdr:row>
      <xdr:rowOff>12700</xdr:rowOff>
    </xdr:from>
    <xdr:to>
      <xdr:col>29</xdr:col>
      <xdr:colOff>812800</xdr:colOff>
      <xdr:row>44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C0F9A7D-2162-522D-82D1-C7394CE97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335500" y="825500"/>
          <a:ext cx="7416800" cy="77597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25401</xdr:colOff>
      <xdr:row>4</xdr:row>
      <xdr:rowOff>12700</xdr:rowOff>
    </xdr:from>
    <xdr:to>
      <xdr:col>9</xdr:col>
      <xdr:colOff>800101</xdr:colOff>
      <xdr:row>56</xdr:row>
      <xdr:rowOff>165100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DA0EF03-DC6F-D24F-B74B-CC4BC6F16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0901" y="825500"/>
          <a:ext cx="7378700" cy="100584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25400</xdr:colOff>
      <xdr:row>56</xdr:row>
      <xdr:rowOff>177800</xdr:rowOff>
    </xdr:from>
    <xdr:to>
      <xdr:col>9</xdr:col>
      <xdr:colOff>812800</xdr:colOff>
      <xdr:row>92</xdr:row>
      <xdr:rowOff>1711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99E8589-A3C5-7841-8120-11881175D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0900" y="10896600"/>
          <a:ext cx="7391400" cy="668191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25400</xdr:colOff>
      <xdr:row>92</xdr:row>
      <xdr:rowOff>0</xdr:rowOff>
    </xdr:from>
    <xdr:to>
      <xdr:col>9</xdr:col>
      <xdr:colOff>812800</xdr:colOff>
      <xdr:row>118</xdr:row>
      <xdr:rowOff>76200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4E20270-CE02-F841-B67C-B48DFC674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50900" y="17576800"/>
          <a:ext cx="7391400" cy="50292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25400</xdr:colOff>
      <xdr:row>118</xdr:row>
      <xdr:rowOff>88900</xdr:rowOff>
    </xdr:from>
    <xdr:to>
      <xdr:col>9</xdr:col>
      <xdr:colOff>812800</xdr:colOff>
      <xdr:row>149</xdr:row>
      <xdr:rowOff>136727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07E7C6E-7D88-EC44-A4C8-11A9EED8F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50900" y="22618700"/>
          <a:ext cx="7391400" cy="595332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0</xdr:colOff>
      <xdr:row>121</xdr:row>
      <xdr:rowOff>88900</xdr:rowOff>
    </xdr:from>
    <xdr:to>
      <xdr:col>14</xdr:col>
      <xdr:colOff>177800</xdr:colOff>
      <xdr:row>122</xdr:row>
      <xdr:rowOff>139141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09939FE-6286-4EC2-A543-B0D9EE6AD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255000" y="23190200"/>
          <a:ext cx="3479800" cy="24074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825499</xdr:colOff>
      <xdr:row>4</xdr:row>
      <xdr:rowOff>12700</xdr:rowOff>
    </xdr:from>
    <xdr:to>
      <xdr:col>11</xdr:col>
      <xdr:colOff>18640</xdr:colOff>
      <xdr:row>26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18E4BF-E5AC-33F2-1A70-FF48C1245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499" y="774700"/>
          <a:ext cx="8273641" cy="4292600"/>
        </a:xfrm>
        <a:prstGeom prst="rect">
          <a:avLst/>
        </a:prstGeom>
      </xdr:spPr>
    </xdr:pic>
    <xdr:clientData/>
  </xdr:twoCellAnchor>
  <xdr:twoCellAnchor editAs="oneCell">
    <xdr:from>
      <xdr:col>1</xdr:col>
      <xdr:colOff>203200</xdr:colOff>
      <xdr:row>32</xdr:row>
      <xdr:rowOff>76200</xdr:rowOff>
    </xdr:from>
    <xdr:to>
      <xdr:col>11</xdr:col>
      <xdr:colOff>76200</xdr:colOff>
      <xdr:row>58</xdr:row>
      <xdr:rowOff>25400</xdr:rowOff>
    </xdr:to>
    <xdr:pic>
      <xdr:nvPicPr>
        <xdr:cNvPr id="4" name="Picture 3" descr="How many Mars missions have been successful? - BBC News">
          <a:extLst>
            <a:ext uri="{FF2B5EF4-FFF2-40B4-BE49-F238E27FC236}">
              <a16:creationId xmlns:a16="http://schemas.microsoft.com/office/drawing/2014/main" id="{DE35D56C-7C0F-16D8-F66C-EB9824A74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6223000"/>
          <a:ext cx="8128000" cy="490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254000</xdr:colOff>
      <xdr:row>61</xdr:row>
      <xdr:rowOff>127000</xdr:rowOff>
    </xdr:from>
    <xdr:to>
      <xdr:col>9</xdr:col>
      <xdr:colOff>381000</xdr:colOff>
      <xdr:row>88</xdr:row>
      <xdr:rowOff>63500</xdr:rowOff>
    </xdr:to>
    <xdr:pic>
      <xdr:nvPicPr>
        <xdr:cNvPr id="5" name="Picture 4" descr="Mars Fourth Planet From Sun Stickers, Magnet | Wacky Print">
          <a:extLst>
            <a:ext uri="{FF2B5EF4-FFF2-40B4-BE49-F238E27FC236}">
              <a16:creationId xmlns:a16="http://schemas.microsoft.com/office/drawing/2014/main" id="{20CAFC0A-5ECA-0882-7D0A-5343164D9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0500" y="11798300"/>
          <a:ext cx="5080000" cy="5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iss.nasa.gov/tools/mars24/help/algorithm.html" TargetMode="External"/><Relationship Id="rId2" Type="http://schemas.openxmlformats.org/officeDocument/2006/relationships/hyperlink" Target="http://www.astronomy-morsels.ch/" TargetMode="External"/><Relationship Id="rId1" Type="http://schemas.openxmlformats.org/officeDocument/2006/relationships/hyperlink" Target="mailto:anton@astronomy-morsels.ch?subject=Eclipse%20Data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pubs.giss.nasa.gov/docs/1997/1997_Allison_al04000r.pdf" TargetMode="External"/><Relationship Id="rId1" Type="http://schemas.openxmlformats.org/officeDocument/2006/relationships/hyperlink" Target="https://www.giss.nasa.gov/tools/mars24/help/algorithm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giss.nasa.gov/tools/mars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B940F-4CFD-5843-94DF-BBFEAA1B2116}">
  <sheetPr codeName="Sheet4"/>
  <dimension ref="A2:Q47"/>
  <sheetViews>
    <sheetView showGridLines="0" tabSelected="1" workbookViewId="0">
      <selection activeCell="P20" sqref="A1:XFD1048576"/>
    </sheetView>
  </sheetViews>
  <sheetFormatPr baseColWidth="10" defaultRowHeight="16" x14ac:dyDescent="0.2"/>
  <cols>
    <col min="1" max="16384" width="10.83203125" style="64"/>
  </cols>
  <sheetData>
    <row r="2" spans="2:11" ht="15" customHeight="1" x14ac:dyDescent="0.2"/>
    <row r="3" spans="2:11" ht="16" customHeight="1" x14ac:dyDescent="0.2">
      <c r="B3" s="46" t="s">
        <v>64</v>
      </c>
      <c r="C3" s="46"/>
      <c r="D3" s="46"/>
      <c r="E3" s="46"/>
      <c r="F3" s="46"/>
      <c r="G3" s="46"/>
      <c r="H3" s="46"/>
      <c r="I3" s="46"/>
      <c r="J3" s="46"/>
      <c r="K3" s="46"/>
    </row>
    <row r="4" spans="2:11" ht="16" customHeight="1" x14ac:dyDescent="0.2"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2:11" ht="16" customHeight="1" x14ac:dyDescent="0.2"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2:11" ht="16" customHeight="1" x14ac:dyDescent="0.2"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2:11" ht="16" customHeight="1" x14ac:dyDescent="0.2">
      <c r="B7" s="46"/>
      <c r="C7" s="46"/>
      <c r="D7" s="46"/>
      <c r="E7" s="46"/>
      <c r="F7" s="46"/>
      <c r="G7" s="46"/>
      <c r="H7" s="46"/>
      <c r="I7" s="46"/>
      <c r="J7" s="46"/>
      <c r="K7" s="46"/>
    </row>
    <row r="8" spans="2:11" ht="16" customHeight="1" x14ac:dyDescent="0.2">
      <c r="B8" s="46"/>
      <c r="C8" s="46"/>
      <c r="D8" s="46"/>
      <c r="E8" s="46"/>
      <c r="F8" s="46"/>
      <c r="G8" s="46"/>
      <c r="H8" s="46"/>
      <c r="I8" s="46"/>
      <c r="J8" s="46"/>
      <c r="K8" s="46"/>
    </row>
    <row r="9" spans="2:11" ht="16" customHeight="1" x14ac:dyDescent="0.2">
      <c r="B9" s="46"/>
      <c r="C9" s="46"/>
      <c r="D9" s="46"/>
      <c r="E9" s="46"/>
      <c r="F9" s="46"/>
      <c r="G9" s="46"/>
      <c r="H9" s="46"/>
      <c r="I9" s="46"/>
      <c r="J9" s="46"/>
      <c r="K9" s="46"/>
    </row>
    <row r="13" spans="2:11" ht="19" x14ac:dyDescent="0.25">
      <c r="D13" s="1" t="s">
        <v>4</v>
      </c>
      <c r="E13" s="2"/>
      <c r="F13" s="3"/>
      <c r="G13" s="3"/>
      <c r="H13" s="3"/>
      <c r="I13" s="4" t="s">
        <v>0</v>
      </c>
    </row>
    <row r="14" spans="2:11" ht="19" x14ac:dyDescent="0.25">
      <c r="D14" s="5"/>
      <c r="E14" s="6"/>
      <c r="F14" s="7"/>
      <c r="G14" s="7"/>
      <c r="H14" s="7"/>
      <c r="I14" s="8"/>
    </row>
    <row r="15" spans="2:11" ht="19" x14ac:dyDescent="0.25">
      <c r="D15" s="9" t="s">
        <v>5</v>
      </c>
      <c r="E15" s="10"/>
      <c r="F15" s="11"/>
      <c r="G15" s="11"/>
      <c r="H15" s="11"/>
      <c r="I15" s="12" t="s">
        <v>65</v>
      </c>
    </row>
    <row r="16" spans="2:11" x14ac:dyDescent="0.2">
      <c r="D16" s="65" t="s">
        <v>6</v>
      </c>
      <c r="E16" s="65"/>
      <c r="F16" s="65"/>
      <c r="G16" s="65"/>
      <c r="H16" s="65"/>
      <c r="I16" s="65"/>
    </row>
    <row r="21" spans="3:15" x14ac:dyDescent="0.2">
      <c r="C21" s="66"/>
      <c r="O21" s="66"/>
    </row>
    <row r="24" spans="3:15" x14ac:dyDescent="0.2">
      <c r="D24" s="66"/>
    </row>
    <row r="36" spans="1:17" x14ac:dyDescent="0.2">
      <c r="Q36" s="66"/>
    </row>
    <row r="44" spans="1:17" x14ac:dyDescent="0.2">
      <c r="A44" s="66"/>
    </row>
    <row r="45" spans="1:17" x14ac:dyDescent="0.2">
      <c r="B45" s="47" t="s">
        <v>1</v>
      </c>
      <c r="C45" s="48"/>
      <c r="D45" s="48"/>
      <c r="E45" s="48"/>
      <c r="F45" s="48"/>
      <c r="G45" s="48"/>
      <c r="H45" s="48"/>
      <c r="I45" s="48"/>
      <c r="J45" s="48"/>
      <c r="K45" s="49"/>
    </row>
    <row r="46" spans="1:17" x14ac:dyDescent="0.2">
      <c r="B46" s="50" t="s">
        <v>2</v>
      </c>
      <c r="C46" s="51"/>
      <c r="D46" s="51"/>
      <c r="E46" s="51"/>
      <c r="F46" s="51"/>
      <c r="G46" s="51"/>
      <c r="H46" s="51"/>
      <c r="I46" s="51"/>
      <c r="J46" s="51"/>
      <c r="K46" s="52"/>
    </row>
    <row r="47" spans="1:17" x14ac:dyDescent="0.2">
      <c r="B47" s="53" t="s">
        <v>3</v>
      </c>
      <c r="C47" s="54"/>
      <c r="D47" s="54"/>
      <c r="E47" s="54"/>
      <c r="F47" s="54"/>
      <c r="G47" s="54"/>
      <c r="H47" s="54"/>
      <c r="I47" s="54"/>
      <c r="J47" s="54"/>
      <c r="K47" s="55"/>
    </row>
  </sheetData>
  <sheetProtection sheet="1" objects="1" scenarios="1"/>
  <mergeCells count="5">
    <mergeCell ref="B3:K9"/>
    <mergeCell ref="B45:K45"/>
    <mergeCell ref="B46:K46"/>
    <mergeCell ref="B47:K47"/>
    <mergeCell ref="D16:I16"/>
  </mergeCells>
  <hyperlinks>
    <hyperlink ref="I13" r:id="rId1" xr:uid="{60E68FAD-CE54-204D-BE8F-AA8992F34899}"/>
    <hyperlink ref="B45" r:id="rId2" display="http://www.astronomy-morsels.ch/" xr:uid="{658673F1-EC19-9849-A093-CD89D563BEA6}"/>
    <hyperlink ref="D16:I16" r:id="rId3" display="Source" xr:uid="{B6444D1B-1C89-AD46-8DA5-6241A5B9AF51}"/>
  </hyperlinks>
  <pageMargins left="0.7" right="0.7" top="0.75" bottom="0.75" header="0.3" footer="0.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B2C3E-4D70-4A49-A7CA-D77CA6E23592}">
  <dimension ref="B2:D56"/>
  <sheetViews>
    <sheetView showGridLines="0" workbookViewId="0">
      <selection activeCell="E15" sqref="E15"/>
    </sheetView>
  </sheetViews>
  <sheetFormatPr baseColWidth="10" defaultRowHeight="15" x14ac:dyDescent="0.2"/>
  <cols>
    <col min="2" max="2" width="15.83203125" customWidth="1"/>
    <col min="3" max="3" width="14.33203125" customWidth="1"/>
    <col min="4" max="4" width="21.6640625" customWidth="1"/>
  </cols>
  <sheetData>
    <row r="2" spans="2:4" ht="16" x14ac:dyDescent="0.2">
      <c r="B2" s="14"/>
      <c r="C2" s="15" t="s">
        <v>7</v>
      </c>
    </row>
    <row r="3" spans="2:4" ht="16" x14ac:dyDescent="0.2">
      <c r="B3" s="27" t="s">
        <v>67</v>
      </c>
      <c r="C3" s="16">
        <v>36562</v>
      </c>
    </row>
    <row r="4" spans="2:4" ht="16" x14ac:dyDescent="0.2">
      <c r="B4" s="27" t="s">
        <v>68</v>
      </c>
      <c r="C4" s="17">
        <v>0</v>
      </c>
    </row>
    <row r="5" spans="2:4" ht="16" x14ac:dyDescent="0.2">
      <c r="B5" s="26" t="s">
        <v>54</v>
      </c>
      <c r="C5" s="28">
        <v>0</v>
      </c>
      <c r="D5" t="s">
        <v>42</v>
      </c>
    </row>
    <row r="6" spans="2:4" ht="16" x14ac:dyDescent="0.2">
      <c r="B6" s="26" t="s">
        <v>40</v>
      </c>
      <c r="C6" s="29">
        <v>0</v>
      </c>
      <c r="D6" t="s">
        <v>41</v>
      </c>
    </row>
    <row r="7" spans="2:4" ht="16" x14ac:dyDescent="0.2">
      <c r="B7" s="18" t="s">
        <v>8</v>
      </c>
      <c r="C7" s="19">
        <f>YEAR(C3)</f>
        <v>2000</v>
      </c>
    </row>
    <row r="8" spans="2:4" ht="16" x14ac:dyDescent="0.2">
      <c r="B8" s="19" t="s">
        <v>9</v>
      </c>
      <c r="C8" s="20">
        <f>MONTH(C3)</f>
        <v>2</v>
      </c>
    </row>
    <row r="9" spans="2:4" ht="16" x14ac:dyDescent="0.2">
      <c r="B9" s="19" t="s">
        <v>10</v>
      </c>
      <c r="C9" s="20">
        <f>DAY(C3)</f>
        <v>6</v>
      </c>
    </row>
    <row r="10" spans="2:4" ht="16" x14ac:dyDescent="0.2">
      <c r="B10" s="19" t="s">
        <v>11</v>
      </c>
      <c r="C10" s="21" t="str">
        <f>IF(OR(MOD(C7,400)=0,AND(MOD(C7,4)=0,MOD(C7,100)&lt;&gt;0)),"Y", "N")</f>
        <v>Y</v>
      </c>
    </row>
    <row r="11" spans="2:4" ht="16" x14ac:dyDescent="0.2">
      <c r="B11" s="19" t="s">
        <v>12</v>
      </c>
      <c r="C11" s="21">
        <f>IF(C8=1,0,IF(C8=2,31,IF(C8=3,59,IF(C8=4,90,IF(C8=5,120,IF(C8=6,151,IF(C8=7,181,IF(C8=8,212,IF(C8=9,243,IF(C8=10,273,IF(C8=11,304,334)))))))))))+C9+IF(AND(C8&gt;2,C10)="Y",1,0)</f>
        <v>37</v>
      </c>
    </row>
    <row r="12" spans="2:4" ht="16" x14ac:dyDescent="0.2">
      <c r="B12" s="22" t="s">
        <v>13</v>
      </c>
      <c r="C12" s="23">
        <f>(HOUR(C4)+(MINUTE(C4)/60)+(SECOND(C4)/3600))/24</f>
        <v>0</v>
      </c>
    </row>
    <row r="13" spans="2:4" ht="16" x14ac:dyDescent="0.2">
      <c r="B13" s="19" t="s">
        <v>14</v>
      </c>
      <c r="C13" s="25">
        <f>367*C7-INT(7/4*C7)-INT(3*(INT((C7-8/7)/100)+1)/4)+1721059.5-1+C11</f>
        <v>2451580.5</v>
      </c>
    </row>
    <row r="14" spans="2:4" ht="16" x14ac:dyDescent="0.2">
      <c r="B14" s="24" t="s">
        <v>15</v>
      </c>
      <c r="C14" s="25">
        <v>2451545</v>
      </c>
    </row>
    <row r="16" spans="2:4" x14ac:dyDescent="0.2">
      <c r="B16" s="56" t="s">
        <v>66</v>
      </c>
      <c r="C16" s="60">
        <f>TIME(INT(ROUND(C39*24,0)),INT((3600*24*C39-3600*INT(ROUND(C39*24,0)))/60),INT(MOD(C39*3600*24,60)))</f>
        <v>8.7997685185185581E-2</v>
      </c>
    </row>
    <row r="17" spans="2:3" x14ac:dyDescent="0.2">
      <c r="B17" s="57"/>
      <c r="C17" s="61"/>
    </row>
    <row r="18" spans="2:3" x14ac:dyDescent="0.2">
      <c r="C18" s="31"/>
    </row>
    <row r="19" spans="2:3" x14ac:dyDescent="0.2">
      <c r="B19" s="32" t="s">
        <v>33</v>
      </c>
      <c r="C19" s="33">
        <f>IF(C13&lt;2441317.5,(C13-2451545)/36525,0)</f>
        <v>0</v>
      </c>
    </row>
    <row r="20" spans="2:3" x14ac:dyDescent="0.2">
      <c r="B20" s="34" t="s">
        <v>34</v>
      </c>
      <c r="C20" s="35">
        <f>64.184+59*-51.2*POWER(C19,2)-67.1*POWER(C19,3)-16.4*POWER(C19,4)</f>
        <v>64.183999999999997</v>
      </c>
    </row>
    <row r="21" spans="2:3" ht="17" x14ac:dyDescent="0.25">
      <c r="B21" s="34" t="s">
        <v>35</v>
      </c>
      <c r="C21" s="35">
        <f>C13+(C20/86400)</f>
        <v>2451580.5007428704</v>
      </c>
    </row>
    <row r="22" spans="2:3" ht="20" x14ac:dyDescent="0.25">
      <c r="B22" s="34" t="s">
        <v>36</v>
      </c>
      <c r="C22" s="35">
        <f>C21-C14</f>
        <v>35.500742870382965</v>
      </c>
    </row>
    <row r="23" spans="2:3" x14ac:dyDescent="0.2">
      <c r="B23" s="34" t="s">
        <v>37</v>
      </c>
      <c r="C23" s="35">
        <f>PI()/180</f>
        <v>1.7453292519943295E-2</v>
      </c>
    </row>
    <row r="24" spans="2:3" x14ac:dyDescent="0.2">
      <c r="B24" s="34" t="s">
        <v>16</v>
      </c>
      <c r="C24" s="35">
        <f>19.3871+0.52402073*C22</f>
        <v>37.990225194480374</v>
      </c>
    </row>
    <row r="25" spans="2:3" ht="17" x14ac:dyDescent="0.25">
      <c r="B25" s="34" t="s">
        <v>17</v>
      </c>
      <c r="C25" s="35">
        <f>270.3871+0.524038496*C22</f>
        <v>288.99085590067818</v>
      </c>
    </row>
    <row r="26" spans="2:3" ht="17" x14ac:dyDescent="0.25">
      <c r="B26" s="34" t="s">
        <v>18</v>
      </c>
      <c r="C26" s="35">
        <f t="shared" ref="C26" si="0">0.0071*COS($C$23*((0.985626*$C$22/2.2353)+49.409))</f>
        <v>2.9935592304209438E-3</v>
      </c>
    </row>
    <row r="27" spans="2:3" ht="17" x14ac:dyDescent="0.25">
      <c r="B27" s="34" t="s">
        <v>19</v>
      </c>
      <c r="C27" s="35">
        <f>0.0057*COS($C$23*((0.985626*$C$22/2.7543)+168.173))</f>
        <v>-5.6993323813656922E-3</v>
      </c>
    </row>
    <row r="28" spans="2:3" ht="17" x14ac:dyDescent="0.25">
      <c r="B28" s="34" t="s">
        <v>20</v>
      </c>
      <c r="C28" s="35">
        <f>0.0039*COS($C$23*((0.985626*$C$22/1.1177)+191.837))</f>
        <v>-2.8456430608870499E-3</v>
      </c>
    </row>
    <row r="29" spans="2:3" ht="17" x14ac:dyDescent="0.25">
      <c r="B29" s="34" t="s">
        <v>21</v>
      </c>
      <c r="C29" s="35">
        <f>0.0037*COS($C$23*((0.985626*$C$22/15.7866)+21.736))</f>
        <v>3.3813655650618397E-3</v>
      </c>
    </row>
    <row r="30" spans="2:3" ht="17" x14ac:dyDescent="0.25">
      <c r="B30" s="34" t="s">
        <v>22</v>
      </c>
      <c r="C30" s="35">
        <f>0.0021*COS($C$23*((0.985626*$C$22/2.1354)+15.704))</f>
        <v>1.7791526831872745E-3</v>
      </c>
    </row>
    <row r="31" spans="2:3" ht="17" x14ac:dyDescent="0.25">
      <c r="B31" s="34" t="s">
        <v>23</v>
      </c>
      <c r="C31" s="35">
        <f>0.002*COS($C$23*((0.985626*$C$22/2.4694)+95.528))</f>
        <v>-6.7411224205138408E-4</v>
      </c>
    </row>
    <row r="32" spans="2:3" ht="17" x14ac:dyDescent="0.25">
      <c r="B32" s="34" t="s">
        <v>24</v>
      </c>
      <c r="C32" s="35">
        <f>0.0018*COS($C$23*((0.985626*$C$22/32.8493)+49.095))</f>
        <v>1.1531582619705482E-3</v>
      </c>
    </row>
    <row r="33" spans="2:4" ht="17" x14ac:dyDescent="0.25">
      <c r="B33" s="34" t="s">
        <v>27</v>
      </c>
      <c r="C33" s="35">
        <f>SUM(C26:C32)</f>
        <v>8.8148056336479668E-5</v>
      </c>
    </row>
    <row r="34" spans="2:4" x14ac:dyDescent="0.2">
      <c r="B34" s="34" t="s">
        <v>25</v>
      </c>
      <c r="C34" s="35">
        <f>(10.691+(3*POWER(10,-7)*C22))*SIN(C23*C24)+0.623*SIN(2*C23*C24)+0.05*SIN(3*C23*C24)+0.005*SIN(4*C23*C24)+0.0005*SIN(5*C23*C24)+C33</f>
        <v>7.2330885965110774</v>
      </c>
    </row>
    <row r="35" spans="2:4" ht="17" x14ac:dyDescent="0.25">
      <c r="B35" s="36" t="s">
        <v>26</v>
      </c>
      <c r="C35" s="37">
        <f>MOD(C25+C34,360)</f>
        <v>296.22394449718928</v>
      </c>
    </row>
    <row r="37" spans="2:4" x14ac:dyDescent="0.2">
      <c r="B37" s="32" t="s">
        <v>38</v>
      </c>
      <c r="C37" s="38">
        <f>2.861*SIN(2*C23*C35)-0.071*SIN(4*C23*C35)+0.002*SIN(6*C23*C35)-C34</f>
        <v>-9.5706719562504112</v>
      </c>
    </row>
    <row r="38" spans="2:4" x14ac:dyDescent="0.2">
      <c r="B38" s="34" t="s">
        <v>39</v>
      </c>
      <c r="C38" s="35">
        <f>(24/360)*C37</f>
        <v>-0.6380447970833607</v>
      </c>
    </row>
    <row r="39" spans="2:4" x14ac:dyDescent="0.2">
      <c r="B39" s="34" t="s">
        <v>28</v>
      </c>
      <c r="C39" s="35">
        <f>MOD(24*(((C21-2451549.5)/1.0274912517)+44796-0.0009626),24)</f>
        <v>4.0880057560279965</v>
      </c>
    </row>
    <row r="40" spans="2:4" x14ac:dyDescent="0.2">
      <c r="B40" s="34" t="s">
        <v>29</v>
      </c>
      <c r="C40" s="35">
        <f>MOD(C39-(C6*24/360),24)</f>
        <v>4.0880057560279965</v>
      </c>
    </row>
    <row r="41" spans="2:4" x14ac:dyDescent="0.2">
      <c r="B41" s="34" t="s">
        <v>30</v>
      </c>
      <c r="C41" s="35">
        <f>C40+C38</f>
        <v>3.4499609589446356</v>
      </c>
    </row>
    <row r="42" spans="2:4" ht="17" x14ac:dyDescent="0.25">
      <c r="B42" s="36" t="s">
        <v>31</v>
      </c>
      <c r="C42" s="37">
        <f>MOD((C39*360/24)+C37+180,360)</f>
        <v>231.74941438416954</v>
      </c>
    </row>
    <row r="44" spans="2:4" x14ac:dyDescent="0.2">
      <c r="B44" s="32" t="s">
        <v>59</v>
      </c>
      <c r="C44" s="39">
        <f>(ASIN(0.42565*SIN(C23*C35))/C23)+0.25*SIN(C23*C35)</f>
        <v>-22.671937815887901</v>
      </c>
      <c r="D44" s="40" t="s">
        <v>47</v>
      </c>
    </row>
    <row r="45" spans="2:4" ht="17" x14ac:dyDescent="0.25">
      <c r="B45" s="34" t="s">
        <v>57</v>
      </c>
      <c r="C45" s="41">
        <f>1.52367934*(1.00436-0.09309*COS(C23*C24)-0.004336*COS(2*C23*C24)-0.00031*COS(3*C23*C24)-0.00003*COS(4*C24))</f>
        <v>1.4171101283294372</v>
      </c>
      <c r="D45" s="42" t="s">
        <v>58</v>
      </c>
    </row>
    <row r="46" spans="2:4" ht="17" x14ac:dyDescent="0.25">
      <c r="B46" s="34" t="s">
        <v>32</v>
      </c>
      <c r="C46" s="41">
        <f>MOD(C35+85.061-0.015*SIN(C23*(71+2*C35))-5.5*POWER(10,-6)*C22,360)</f>
        <v>21.297265055131732</v>
      </c>
      <c r="D46" s="42" t="s">
        <v>48</v>
      </c>
    </row>
    <row r="47" spans="2:4" ht="17" x14ac:dyDescent="0.25">
      <c r="B47" s="34" t="s">
        <v>46</v>
      </c>
      <c r="C47" s="41">
        <f>-(1.8497-2.23*POWER(10,-5)*C22)*SIN(C23*(C35-144.5+2.57*POWER(10,-6)*C22))</f>
        <v>-0.87586264574541806</v>
      </c>
      <c r="D47" s="42" t="s">
        <v>49</v>
      </c>
    </row>
    <row r="48" spans="2:4" x14ac:dyDescent="0.2">
      <c r="B48" s="34" t="s">
        <v>60</v>
      </c>
      <c r="C48" s="41">
        <f>C6-C42</f>
        <v>-231.74941438416954</v>
      </c>
      <c r="D48" s="58" t="s">
        <v>61</v>
      </c>
    </row>
    <row r="49" spans="2:4" x14ac:dyDescent="0.2">
      <c r="B49" s="34" t="s">
        <v>62</v>
      </c>
      <c r="C49" s="41">
        <f>C48*C23</f>
        <v>-4.0447903205724653</v>
      </c>
      <c r="D49" s="58"/>
    </row>
    <row r="50" spans="2:4" x14ac:dyDescent="0.2">
      <c r="B50" s="34" t="s">
        <v>52</v>
      </c>
      <c r="C50" s="41">
        <f>ACOS((SIN(C23*C44)*SIN(C23*C5))+COS(C23*C44)*COS(C23*C5)*COS(C23*(C6-C42)))</f>
        <v>2.1788390683640517</v>
      </c>
      <c r="D50" s="58" t="s">
        <v>50</v>
      </c>
    </row>
    <row r="51" spans="2:4" x14ac:dyDescent="0.2">
      <c r="B51" s="34" t="s">
        <v>53</v>
      </c>
      <c r="C51" s="41">
        <f>C50/C23</f>
        <v>124.83828285547641</v>
      </c>
      <c r="D51" s="58"/>
    </row>
    <row r="52" spans="2:4" x14ac:dyDescent="0.2">
      <c r="B52" s="34" t="s">
        <v>55</v>
      </c>
      <c r="C52" s="43">
        <f>ATAN(SIN(C49)/((COS(C23*C5)*TAN(C23*C44))-SIN(C23*C5)*COS(C49)))</f>
        <v>-1.0819287931071748</v>
      </c>
      <c r="D52" s="58" t="s">
        <v>51</v>
      </c>
    </row>
    <row r="53" spans="2:4" x14ac:dyDescent="0.2">
      <c r="B53" s="36" t="s">
        <v>56</v>
      </c>
      <c r="C53" s="44">
        <f>180+(C52/C23)</f>
        <v>118.01004642127606</v>
      </c>
      <c r="D53" s="59"/>
    </row>
    <row r="54" spans="2:4" x14ac:dyDescent="0.2">
      <c r="C54" s="45" t="s">
        <v>63</v>
      </c>
    </row>
    <row r="56" spans="2:4" x14ac:dyDescent="0.2">
      <c r="B56" s="30"/>
    </row>
  </sheetData>
  <sheetProtection sheet="1" objects="1" scenarios="1"/>
  <mergeCells count="5">
    <mergeCell ref="B16:B17"/>
    <mergeCell ref="D52:D53"/>
    <mergeCell ref="D50:D51"/>
    <mergeCell ref="D48:D49"/>
    <mergeCell ref="C16:C17"/>
  </mergeCells>
  <phoneticPr fontId="2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D37F8-C440-9E4D-BD83-134AD9E64ADE}">
  <dimension ref="B2:AD121"/>
  <sheetViews>
    <sheetView showGridLines="0" workbookViewId="0">
      <selection activeCell="B2" sqref="B2"/>
    </sheetView>
  </sheetViews>
  <sheetFormatPr baseColWidth="10" defaultRowHeight="15" x14ac:dyDescent="0.2"/>
  <sheetData>
    <row r="2" spans="2:30" x14ac:dyDescent="0.2">
      <c r="B2" s="13" t="s">
        <v>6</v>
      </c>
    </row>
    <row r="4" spans="2:30" ht="19" x14ac:dyDescent="0.25">
      <c r="B4" s="62" t="s">
        <v>43</v>
      </c>
      <c r="C4" s="62"/>
      <c r="D4" s="62"/>
      <c r="E4" s="62"/>
      <c r="F4" s="62"/>
      <c r="G4" s="62"/>
      <c r="H4" s="62"/>
      <c r="I4" s="62"/>
      <c r="J4" s="62"/>
      <c r="L4" s="62" t="s">
        <v>44</v>
      </c>
      <c r="M4" s="62"/>
      <c r="N4" s="62"/>
      <c r="O4" s="62"/>
      <c r="P4" s="62"/>
      <c r="Q4" s="62"/>
      <c r="R4" s="62"/>
      <c r="S4" s="62"/>
      <c r="T4" s="62"/>
      <c r="V4" s="62" t="s">
        <v>45</v>
      </c>
      <c r="W4" s="62"/>
      <c r="X4" s="62"/>
      <c r="Y4" s="62"/>
      <c r="Z4" s="62"/>
      <c r="AA4" s="62"/>
      <c r="AB4" s="62"/>
      <c r="AC4" s="62"/>
      <c r="AD4" s="62"/>
    </row>
    <row r="121" spans="11:11" x14ac:dyDescent="0.2">
      <c r="K121" s="13" t="s">
        <v>6</v>
      </c>
    </row>
  </sheetData>
  <sheetProtection sheet="1" objects="1" scenarios="1"/>
  <mergeCells count="3">
    <mergeCell ref="B4:J4"/>
    <mergeCell ref="L4:T4"/>
    <mergeCell ref="V4:AD4"/>
  </mergeCells>
  <hyperlinks>
    <hyperlink ref="B2" r:id="rId1" xr:uid="{02508F08-679F-604F-B8A6-816783AF8F99}"/>
    <hyperlink ref="K121" r:id="rId2" xr:uid="{8BA03D8A-AA69-7C4D-A24F-5E596E86910D}"/>
  </hyperlinks>
  <pageMargins left="0.7" right="0.7" top="0.75" bottom="0.75" header="0.3" footer="0.3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519FB-5A35-8543-8879-BC9477CC2797}">
  <dimension ref="B2:K2"/>
  <sheetViews>
    <sheetView showGridLines="0" workbookViewId="0">
      <selection activeCell="L75" sqref="L75"/>
    </sheetView>
  </sheetViews>
  <sheetFormatPr baseColWidth="10" defaultRowHeight="15" x14ac:dyDescent="0.2"/>
  <sheetData>
    <row r="2" spans="2:11" ht="19" x14ac:dyDescent="0.25">
      <c r="B2" s="63" t="s">
        <v>69</v>
      </c>
      <c r="C2" s="63"/>
      <c r="D2" s="63"/>
      <c r="E2" s="63"/>
      <c r="F2" s="63"/>
      <c r="G2" s="63"/>
      <c r="H2" s="63"/>
      <c r="I2" s="63"/>
      <c r="J2" s="63"/>
      <c r="K2" s="63"/>
    </row>
  </sheetData>
  <sheetProtection sheet="1" objects="1" scenarios="1"/>
  <mergeCells count="1">
    <mergeCell ref="B2:K2"/>
  </mergeCells>
  <hyperlinks>
    <hyperlink ref="B2" r:id="rId1" xr:uid="{DE0660F9-7206-E045-A07E-39E636D190A1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Introduction</vt:lpstr>
      <vt:lpstr>Algorithm</vt:lpstr>
      <vt:lpstr>Algorithm, Examples</vt:lpstr>
      <vt:lpstr>Planned</vt:lpstr>
    </vt:vector>
  </TitlesOfParts>
  <Manager/>
  <Company>Astronomy Morsels</Company>
  <LinksUpToDate>false</LinksUpToDate>
  <SharedDoc>false</SharedDoc>
  <HyperlinkBase>www.astronomy-morsels.ch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Time on Mars</dc:title>
  <dc:subject/>
  <dc:creator>Anton Viola</dc:creator>
  <cp:keywords/>
  <dc:description/>
  <cp:lastModifiedBy>Anton Viola</cp:lastModifiedBy>
  <dcterms:created xsi:type="dcterms:W3CDTF">2009-01-01T15:24:05Z</dcterms:created>
  <dcterms:modified xsi:type="dcterms:W3CDTF">2024-05-15T15:59:33Z</dcterms:modified>
  <cp:category/>
</cp:coreProperties>
</file>