
<file path=[Content_Types].xml><?xml version="1.0" encoding="utf-8"?>
<Types xmlns="http://schemas.openxmlformats.org/package/2006/content-type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ate1904="1" codeName="ThisWorkbook"/>
  <mc:AlternateContent xmlns:mc="http://schemas.openxmlformats.org/markup-compatibility/2006">
    <mc:Choice Requires="x15">
      <x15ac:absPath xmlns:x15ac="http://schemas.microsoft.com/office/spreadsheetml/2010/11/ac" url="/Users/hanssassenburg/Library/CloudStorage/Dropbox/X_Private/20_Astronomy/Morsels/"/>
    </mc:Choice>
  </mc:AlternateContent>
  <xr:revisionPtr revIDLastSave="0" documentId="13_ncr:1_{977AC52C-423F-8E47-9467-77971D7D7215}" xr6:coauthVersionLast="47" xr6:coauthVersionMax="47" xr10:uidLastSave="{00000000-0000-0000-0000-000000000000}"/>
  <bookViews>
    <workbookView xWindow="5000" yWindow="1520" windowWidth="34360" windowHeight="22920" tabRatio="500" xr2:uid="{00000000-000D-0000-FFFF-FFFF00000000}"/>
  </bookViews>
  <sheets>
    <sheet name="Introduction" sheetId="3" r:id="rId1"/>
    <sheet name="Clock" sheetId="2" r:id="rId2"/>
    <sheet name="Calculations" sheetId="1" r:id="rId3"/>
  </sheets>
  <definedNames>
    <definedName name="phi">Calculations!$D$5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 l="1"/>
  <c r="C6" i="1"/>
  <c r="AD11" i="1" s="1"/>
  <c r="AA10" i="1"/>
  <c r="AB10" i="1"/>
  <c r="AC10" i="1"/>
  <c r="AD10" i="1"/>
  <c r="AG10" i="1"/>
  <c r="AH10" i="1"/>
  <c r="AJ10" i="1"/>
  <c r="AK10" i="1"/>
  <c r="C11" i="1"/>
  <c r="AA11" i="1"/>
  <c r="AB11" i="1"/>
  <c r="AC11" i="1"/>
  <c r="AG11" i="1"/>
  <c r="AH11" i="1"/>
  <c r="AJ11" i="1"/>
  <c r="AK11" i="1"/>
  <c r="AY11" i="1"/>
  <c r="AY12" i="1" s="1"/>
  <c r="AY13" i="1" s="1"/>
  <c r="AY14" i="1" s="1"/>
  <c r="AY15" i="1" s="1"/>
  <c r="AY16" i="1" s="1"/>
  <c r="AY17" i="1" s="1"/>
  <c r="AY18" i="1" s="1"/>
  <c r="AY19" i="1" s="1"/>
  <c r="AY20" i="1" s="1"/>
  <c r="AY21" i="1" s="1"/>
  <c r="AY22" i="1" s="1"/>
  <c r="AY23" i="1" s="1"/>
  <c r="AY24" i="1" s="1"/>
  <c r="AY25" i="1" s="1"/>
  <c r="AY26" i="1" s="1"/>
  <c r="AY27" i="1" s="1"/>
  <c r="AY28" i="1" s="1"/>
  <c r="AY29" i="1" s="1"/>
  <c r="AY30" i="1" s="1"/>
  <c r="AY31" i="1" s="1"/>
  <c r="AY32" i="1" s="1"/>
  <c r="AY33" i="1" s="1"/>
  <c r="AY34" i="1" s="1"/>
  <c r="AY35" i="1" s="1"/>
  <c r="AY36" i="1" s="1"/>
  <c r="AY37" i="1" s="1"/>
  <c r="AY38" i="1" s="1"/>
  <c r="AY39" i="1" s="1"/>
  <c r="AY40" i="1" s="1"/>
  <c r="AY41" i="1" s="1"/>
  <c r="AY42" i="1" s="1"/>
  <c r="AY43" i="1" s="1"/>
  <c r="AY44" i="1" s="1"/>
  <c r="AY45" i="1" s="1"/>
  <c r="AY46" i="1" s="1"/>
  <c r="AY47" i="1" s="1"/>
  <c r="AY48" i="1" s="1"/>
  <c r="AY49" i="1" s="1"/>
  <c r="AY50" i="1" s="1"/>
  <c r="AY51" i="1" s="1"/>
  <c r="AY52" i="1" s="1"/>
  <c r="AY53" i="1" s="1"/>
  <c r="AY54" i="1" s="1"/>
  <c r="AY55" i="1" s="1"/>
  <c r="AY56" i="1" s="1"/>
  <c r="AY57" i="1" s="1"/>
  <c r="AY58" i="1" s="1"/>
  <c r="AY59" i="1" s="1"/>
  <c r="AY60" i="1" s="1"/>
  <c r="AY61" i="1" s="1"/>
  <c r="AY62" i="1" s="1"/>
  <c r="AY63" i="1" s="1"/>
  <c r="AY64" i="1" s="1"/>
  <c r="AY65" i="1" s="1"/>
  <c r="AY66" i="1" s="1"/>
  <c r="AY67" i="1" s="1"/>
  <c r="AY68" i="1" s="1"/>
  <c r="AY69" i="1" s="1"/>
  <c r="AY70" i="1" s="1"/>
  <c r="AY71" i="1" s="1"/>
  <c r="AY72" i="1" s="1"/>
  <c r="AY73" i="1" s="1"/>
  <c r="AY74" i="1" s="1"/>
  <c r="AY75" i="1" s="1"/>
  <c r="AY76" i="1" s="1"/>
  <c r="AY77" i="1" s="1"/>
  <c r="AY78" i="1" s="1"/>
  <c r="AY79" i="1" s="1"/>
  <c r="AY80" i="1" s="1"/>
  <c r="AY81" i="1" s="1"/>
  <c r="AY82" i="1" s="1"/>
  <c r="AY83" i="1" s="1"/>
  <c r="AY84" i="1" s="1"/>
  <c r="AY85" i="1" s="1"/>
  <c r="AY86" i="1" s="1"/>
  <c r="AY87" i="1" s="1"/>
  <c r="AY88" i="1" s="1"/>
  <c r="AA12" i="1"/>
  <c r="AB12" i="1"/>
  <c r="AC12" i="1"/>
  <c r="AD12" i="1"/>
  <c r="AG12" i="1"/>
  <c r="AH12" i="1"/>
  <c r="AJ12" i="1"/>
  <c r="AK12" i="1"/>
  <c r="C13" i="1"/>
  <c r="AA13" i="1"/>
  <c r="AB13" i="1"/>
  <c r="AC13" i="1"/>
  <c r="AD13" i="1"/>
  <c r="AG13" i="1"/>
  <c r="AH13" i="1"/>
  <c r="AJ13" i="1"/>
  <c r="AK13" i="1"/>
  <c r="BJ13" i="1"/>
  <c r="AA14" i="1"/>
  <c r="AB14" i="1"/>
  <c r="AC14" i="1"/>
  <c r="AD14" i="1"/>
  <c r="AG14" i="1"/>
  <c r="AH14" i="1"/>
  <c r="AJ14" i="1"/>
  <c r="AK14" i="1"/>
  <c r="BJ14" i="1"/>
  <c r="C15" i="1"/>
  <c r="AA15" i="1"/>
  <c r="AB15" i="1"/>
  <c r="AC15" i="1"/>
  <c r="AD15" i="1"/>
  <c r="AG15" i="1"/>
  <c r="AH15" i="1"/>
  <c r="AJ15" i="1"/>
  <c r="AK15" i="1"/>
  <c r="AA16" i="1"/>
  <c r="AB16" i="1"/>
  <c r="AC16" i="1"/>
  <c r="AD16" i="1"/>
  <c r="AG16" i="1"/>
  <c r="AH16" i="1"/>
  <c r="AJ16" i="1"/>
  <c r="AK16" i="1"/>
  <c r="BJ16" i="1"/>
  <c r="C17" i="1"/>
  <c r="AA17" i="1"/>
  <c r="AB17" i="1"/>
  <c r="AC17" i="1"/>
  <c r="AD17" i="1"/>
  <c r="AG17" i="1"/>
  <c r="AH17" i="1"/>
  <c r="AJ17" i="1"/>
  <c r="AK17" i="1"/>
  <c r="BJ17" i="1"/>
  <c r="AA18" i="1"/>
  <c r="AB18" i="1"/>
  <c r="AC18" i="1"/>
  <c r="AD18" i="1"/>
  <c r="AG18" i="1"/>
  <c r="AH18" i="1"/>
  <c r="AJ18" i="1"/>
  <c r="AK18" i="1"/>
  <c r="C19" i="1"/>
  <c r="AA19" i="1"/>
  <c r="AB19" i="1"/>
  <c r="AC19" i="1"/>
  <c r="AD19" i="1"/>
  <c r="AG19" i="1"/>
  <c r="AH19" i="1"/>
  <c r="AJ19" i="1"/>
  <c r="AK19" i="1"/>
  <c r="BJ19" i="1"/>
  <c r="AA20" i="1"/>
  <c r="AB20" i="1"/>
  <c r="AC20" i="1"/>
  <c r="AD20" i="1"/>
  <c r="AG20" i="1"/>
  <c r="AH20" i="1"/>
  <c r="AJ20" i="1"/>
  <c r="AK20" i="1"/>
  <c r="BJ20" i="1"/>
  <c r="C21" i="1"/>
  <c r="AA21" i="1"/>
  <c r="AB21" i="1"/>
  <c r="AC21" i="1"/>
  <c r="AD21" i="1"/>
  <c r="AG21" i="1"/>
  <c r="AH21" i="1"/>
  <c r="AJ21" i="1"/>
  <c r="AK21" i="1"/>
  <c r="AA22" i="1"/>
  <c r="AB22" i="1"/>
  <c r="AC22" i="1"/>
  <c r="AD22" i="1"/>
  <c r="AG22" i="1"/>
  <c r="AH22" i="1"/>
  <c r="AJ22" i="1"/>
  <c r="AK22" i="1"/>
  <c r="BJ22" i="1"/>
  <c r="C23" i="1"/>
  <c r="AA23" i="1"/>
  <c r="AB23" i="1"/>
  <c r="AC23" i="1"/>
  <c r="AD23" i="1"/>
  <c r="AG23" i="1"/>
  <c r="AH23" i="1"/>
  <c r="AJ23" i="1"/>
  <c r="AK23" i="1"/>
  <c r="BJ23" i="1"/>
  <c r="AA24" i="1"/>
  <c r="AB24" i="1"/>
  <c r="AC24" i="1"/>
  <c r="AD24" i="1"/>
  <c r="AG24" i="1"/>
  <c r="AH24" i="1"/>
  <c r="AJ24" i="1"/>
  <c r="AK24" i="1"/>
  <c r="AA25" i="1"/>
  <c r="AB25" i="1"/>
  <c r="AC25" i="1"/>
  <c r="AD25" i="1"/>
  <c r="AG25" i="1"/>
  <c r="AH25" i="1"/>
  <c r="AJ25" i="1"/>
  <c r="AK25" i="1"/>
  <c r="BJ25" i="1"/>
  <c r="AA26" i="1"/>
  <c r="AB26" i="1"/>
  <c r="AC26" i="1"/>
  <c r="AD26" i="1"/>
  <c r="AG26" i="1"/>
  <c r="AH26" i="1"/>
  <c r="AJ26" i="1"/>
  <c r="AK26" i="1"/>
  <c r="BJ26" i="1"/>
  <c r="AA27" i="1"/>
  <c r="AB27" i="1"/>
  <c r="AC27" i="1"/>
  <c r="AD27" i="1"/>
  <c r="AG27" i="1"/>
  <c r="AH27" i="1"/>
  <c r="AJ27" i="1"/>
  <c r="AK27" i="1"/>
  <c r="AA28" i="1"/>
  <c r="AB28" i="1"/>
  <c r="AC28" i="1"/>
  <c r="AD28" i="1"/>
  <c r="AG28" i="1"/>
  <c r="AH28" i="1"/>
  <c r="AJ28" i="1"/>
  <c r="AK28" i="1"/>
  <c r="C29" i="1"/>
  <c r="D5" i="1" s="1"/>
  <c r="AA29" i="1"/>
  <c r="AB29" i="1"/>
  <c r="AC29" i="1"/>
  <c r="AD29" i="1"/>
  <c r="AG29" i="1"/>
  <c r="AH29" i="1"/>
  <c r="AJ29" i="1"/>
  <c r="AK29" i="1"/>
  <c r="C30" i="1"/>
  <c r="AA30" i="1"/>
  <c r="AB30" i="1"/>
  <c r="AC30" i="1"/>
  <c r="AD30" i="1"/>
  <c r="AG30" i="1"/>
  <c r="AH30" i="1"/>
  <c r="AJ30" i="1"/>
  <c r="AK30" i="1"/>
  <c r="AA31" i="1"/>
  <c r="AB31" i="1"/>
  <c r="AC31" i="1"/>
  <c r="AD31" i="1"/>
  <c r="AG31" i="1"/>
  <c r="AH31" i="1"/>
  <c r="AJ31" i="1"/>
  <c r="AK31" i="1"/>
  <c r="BJ31" i="1"/>
  <c r="AA32" i="1"/>
  <c r="AB32" i="1"/>
  <c r="AC32" i="1"/>
  <c r="AD32" i="1"/>
  <c r="AG32" i="1"/>
  <c r="AH32" i="1"/>
  <c r="AJ32" i="1"/>
  <c r="AK32" i="1"/>
  <c r="BJ32" i="1"/>
  <c r="C33" i="1"/>
  <c r="AA33" i="1"/>
  <c r="AB33" i="1"/>
  <c r="AC33" i="1"/>
  <c r="AD33" i="1"/>
  <c r="AG33" i="1"/>
  <c r="AH33" i="1"/>
  <c r="AJ33" i="1"/>
  <c r="AK33" i="1"/>
  <c r="C34" i="1"/>
  <c r="AA34" i="1"/>
  <c r="AB34" i="1"/>
  <c r="AC34" i="1"/>
  <c r="AD34" i="1"/>
  <c r="AG34" i="1"/>
  <c r="AH34" i="1"/>
  <c r="AJ34" i="1"/>
  <c r="AK34" i="1"/>
  <c r="BJ34" i="1"/>
  <c r="AA35" i="1"/>
  <c r="AB35" i="1"/>
  <c r="AC35" i="1"/>
  <c r="AD35" i="1"/>
  <c r="AG35" i="1"/>
  <c r="AH35" i="1"/>
  <c r="BJ35" i="1"/>
  <c r="AA36" i="1"/>
  <c r="AB36" i="1"/>
  <c r="AC36" i="1"/>
  <c r="AD36" i="1"/>
  <c r="AG36" i="1"/>
  <c r="AH36" i="1"/>
  <c r="C37" i="1"/>
  <c r="AA37" i="1"/>
  <c r="AB37" i="1"/>
  <c r="AC37" i="1"/>
  <c r="AD37" i="1"/>
  <c r="AG37" i="1"/>
  <c r="AH37" i="1"/>
  <c r="BJ37" i="1"/>
  <c r="C38" i="1"/>
  <c r="E5" i="1" s="1"/>
  <c r="AA38" i="1"/>
  <c r="AB38" i="1"/>
  <c r="AC38" i="1"/>
  <c r="AD38" i="1"/>
  <c r="AG38" i="1"/>
  <c r="AH38" i="1"/>
  <c r="BJ38" i="1"/>
  <c r="AA39" i="1"/>
  <c r="AB39" i="1"/>
  <c r="AC39" i="1"/>
  <c r="AD39" i="1"/>
  <c r="AG39" i="1"/>
  <c r="AH39" i="1"/>
  <c r="AA40" i="1"/>
  <c r="AB40" i="1"/>
  <c r="AC40" i="1"/>
  <c r="AD40" i="1"/>
  <c r="AG40" i="1"/>
  <c r="AH40" i="1"/>
  <c r="BJ40" i="1"/>
  <c r="AA41" i="1"/>
  <c r="AB41" i="1"/>
  <c r="AC41" i="1"/>
  <c r="AD41" i="1"/>
  <c r="AG41" i="1"/>
  <c r="AH41" i="1"/>
  <c r="BJ41" i="1"/>
  <c r="AA42" i="1"/>
  <c r="AB42" i="1"/>
  <c r="AC42" i="1"/>
  <c r="AD42" i="1"/>
  <c r="AG42" i="1"/>
  <c r="AH42" i="1"/>
  <c r="AA43" i="1"/>
  <c r="AB43" i="1"/>
  <c r="AC43" i="1"/>
  <c r="AD43" i="1"/>
  <c r="AG43" i="1"/>
  <c r="AH43" i="1"/>
  <c r="BJ43" i="1"/>
  <c r="AA44" i="1"/>
  <c r="AB44" i="1"/>
  <c r="AC44" i="1"/>
  <c r="AD44" i="1"/>
  <c r="AG44" i="1"/>
  <c r="AH44" i="1"/>
  <c r="BJ44" i="1"/>
  <c r="AA45" i="1"/>
  <c r="AB45" i="1"/>
  <c r="AC45" i="1"/>
  <c r="AD45" i="1"/>
  <c r="AG45" i="1"/>
  <c r="AH45" i="1"/>
  <c r="AA46" i="1"/>
  <c r="AB46" i="1"/>
  <c r="AC46" i="1"/>
  <c r="AD46" i="1"/>
  <c r="AG46" i="1"/>
  <c r="AH46" i="1"/>
  <c r="BJ46" i="1"/>
  <c r="AA47" i="1"/>
  <c r="AB47" i="1"/>
  <c r="AC47" i="1"/>
  <c r="AD47" i="1"/>
  <c r="AG47" i="1"/>
  <c r="AH47" i="1"/>
  <c r="BJ47" i="1"/>
  <c r="AA48" i="1"/>
  <c r="AB48" i="1"/>
  <c r="AC48" i="1"/>
  <c r="AD48" i="1"/>
  <c r="AG48" i="1"/>
  <c r="AH48" i="1"/>
  <c r="AA49" i="1"/>
  <c r="AB49" i="1"/>
  <c r="AC49" i="1"/>
  <c r="AD49" i="1"/>
  <c r="AG49" i="1"/>
  <c r="AH49" i="1"/>
  <c r="AA50" i="1"/>
  <c r="AB50" i="1"/>
  <c r="AC50" i="1"/>
  <c r="AD50" i="1"/>
  <c r="AG50" i="1"/>
  <c r="AH50" i="1"/>
  <c r="AA51" i="1"/>
  <c r="AB51" i="1"/>
  <c r="AC51" i="1"/>
  <c r="AD51" i="1"/>
  <c r="AG51" i="1"/>
  <c r="AH51" i="1"/>
  <c r="AA52" i="1"/>
  <c r="AB52" i="1"/>
  <c r="AC52" i="1"/>
  <c r="AD52" i="1"/>
  <c r="AG52" i="1"/>
  <c r="AH52" i="1"/>
  <c r="AA53" i="1"/>
  <c r="AB53" i="1"/>
  <c r="AC53" i="1"/>
  <c r="AD53" i="1"/>
  <c r="AG53" i="1"/>
  <c r="AH53" i="1"/>
  <c r="AA54" i="1"/>
  <c r="AB54" i="1"/>
  <c r="AC54" i="1"/>
  <c r="AD54" i="1"/>
  <c r="AG54" i="1"/>
  <c r="AH54" i="1"/>
  <c r="AA55" i="1"/>
  <c r="AB55" i="1"/>
  <c r="AC55" i="1"/>
  <c r="AD55" i="1"/>
  <c r="AG55" i="1"/>
  <c r="AH55" i="1"/>
  <c r="AA56" i="1"/>
  <c r="AB56" i="1"/>
  <c r="AC56" i="1"/>
  <c r="AD56" i="1"/>
  <c r="AG56" i="1"/>
  <c r="AH56" i="1"/>
  <c r="AA57" i="1"/>
  <c r="AB57" i="1"/>
  <c r="AC57" i="1"/>
  <c r="AD57" i="1"/>
  <c r="AG57" i="1"/>
  <c r="AH57" i="1"/>
  <c r="AA58" i="1"/>
  <c r="AB58" i="1"/>
  <c r="AC58" i="1"/>
  <c r="AD58" i="1"/>
  <c r="AG58" i="1"/>
  <c r="AH58" i="1"/>
  <c r="AA59" i="1"/>
  <c r="AB59" i="1"/>
  <c r="AC59" i="1"/>
  <c r="AD59" i="1"/>
  <c r="AG59" i="1"/>
  <c r="AH59" i="1"/>
  <c r="AA60" i="1"/>
  <c r="AB60" i="1"/>
  <c r="AC60" i="1"/>
  <c r="AD60" i="1"/>
  <c r="AG60" i="1"/>
  <c r="AH60" i="1"/>
  <c r="AA61" i="1"/>
  <c r="AB61" i="1"/>
  <c r="AC61" i="1"/>
  <c r="AD61" i="1"/>
  <c r="AG61" i="1"/>
  <c r="AH61" i="1"/>
  <c r="AA62" i="1"/>
  <c r="AB62" i="1"/>
  <c r="AC62" i="1"/>
  <c r="AD62" i="1"/>
  <c r="AG62" i="1"/>
  <c r="AH62" i="1"/>
  <c r="AA63" i="1"/>
  <c r="AB63" i="1"/>
  <c r="AC63" i="1"/>
  <c r="AD63" i="1"/>
  <c r="AG63" i="1"/>
  <c r="AH63" i="1"/>
  <c r="AA64" i="1"/>
  <c r="AB64" i="1"/>
  <c r="AC64" i="1"/>
  <c r="AD64" i="1"/>
  <c r="AG64" i="1"/>
  <c r="AH64" i="1"/>
  <c r="AA65" i="1"/>
  <c r="AB65" i="1"/>
  <c r="AC65" i="1"/>
  <c r="AD65" i="1"/>
  <c r="AG65" i="1"/>
  <c r="AH65" i="1"/>
  <c r="AA66" i="1"/>
  <c r="AB66" i="1"/>
  <c r="AC66" i="1"/>
  <c r="AD66" i="1"/>
  <c r="AG66" i="1"/>
  <c r="AH66" i="1"/>
  <c r="AA67" i="1"/>
  <c r="AB67" i="1"/>
  <c r="AC67" i="1"/>
  <c r="AD67" i="1"/>
  <c r="AG67" i="1"/>
  <c r="AH67" i="1"/>
  <c r="AA68" i="1"/>
  <c r="AB68" i="1"/>
  <c r="AC68" i="1"/>
  <c r="AD68" i="1"/>
  <c r="AG68" i="1"/>
  <c r="AH68" i="1"/>
  <c r="AA69" i="1"/>
  <c r="AB69" i="1"/>
  <c r="AC69" i="1"/>
  <c r="AD69" i="1"/>
  <c r="AG69" i="1"/>
  <c r="AH69" i="1"/>
  <c r="AA70" i="1"/>
  <c r="AB70" i="1"/>
  <c r="AC70" i="1"/>
  <c r="AD70" i="1"/>
  <c r="AG70" i="1"/>
  <c r="AH70" i="1"/>
  <c r="AA71" i="1"/>
  <c r="AB71" i="1"/>
  <c r="AC71" i="1"/>
  <c r="AD71" i="1"/>
  <c r="AG71" i="1"/>
  <c r="AH71" i="1"/>
  <c r="AA72" i="1"/>
  <c r="AB72" i="1"/>
  <c r="AC72" i="1"/>
  <c r="AD72" i="1"/>
  <c r="AG72" i="1"/>
  <c r="AH72" i="1"/>
  <c r="AX72" i="1"/>
  <c r="AA73" i="1"/>
  <c r="AB73" i="1"/>
  <c r="AC73" i="1"/>
  <c r="AD73" i="1"/>
  <c r="AG73" i="1"/>
  <c r="AH73" i="1"/>
  <c r="AA74" i="1"/>
  <c r="AB74" i="1"/>
  <c r="AC74" i="1"/>
  <c r="AD74" i="1"/>
  <c r="AG74" i="1"/>
  <c r="AH74" i="1"/>
  <c r="AA75" i="1"/>
  <c r="AB75" i="1"/>
  <c r="AC75" i="1"/>
  <c r="AD75" i="1"/>
  <c r="AG75" i="1"/>
  <c r="AH75" i="1"/>
  <c r="AA76" i="1"/>
  <c r="AB76" i="1"/>
  <c r="AC76" i="1"/>
  <c r="AD76" i="1"/>
  <c r="AG76" i="1"/>
  <c r="AH76" i="1"/>
  <c r="AA77" i="1"/>
  <c r="AB77" i="1"/>
  <c r="AC77" i="1"/>
  <c r="AD77" i="1"/>
  <c r="AG77" i="1"/>
  <c r="AH77" i="1"/>
  <c r="AA78" i="1"/>
  <c r="AB78" i="1"/>
  <c r="AC78" i="1"/>
  <c r="AD78" i="1"/>
  <c r="AG78" i="1"/>
  <c r="AH78" i="1"/>
  <c r="AA79" i="1"/>
  <c r="AB79" i="1"/>
  <c r="AC79" i="1"/>
  <c r="AD79" i="1"/>
  <c r="AG79" i="1"/>
  <c r="AH79" i="1"/>
  <c r="AA80" i="1"/>
  <c r="AB80" i="1"/>
  <c r="AC80" i="1"/>
  <c r="AD80" i="1"/>
  <c r="AG80" i="1"/>
  <c r="AH80" i="1"/>
  <c r="AA81" i="1"/>
  <c r="AB81" i="1"/>
  <c r="AC81" i="1"/>
  <c r="AD81" i="1"/>
  <c r="AG81" i="1"/>
  <c r="AH81" i="1"/>
  <c r="AA82" i="1"/>
  <c r="AB82" i="1"/>
  <c r="AC82" i="1"/>
  <c r="AD82" i="1"/>
  <c r="AG82" i="1"/>
  <c r="AH82" i="1"/>
  <c r="AY90" i="1"/>
  <c r="AY91" i="1" s="1"/>
  <c r="AY92" i="1" s="1"/>
  <c r="AY93" i="1" s="1"/>
  <c r="AY94" i="1" s="1"/>
  <c r="AY95" i="1" s="1"/>
  <c r="AY96" i="1" s="1"/>
  <c r="AY97" i="1" s="1"/>
  <c r="AY98" i="1" s="1"/>
  <c r="AY99" i="1" s="1"/>
  <c r="AY100" i="1" s="1"/>
  <c r="AY101" i="1" s="1"/>
  <c r="AY102" i="1" s="1"/>
  <c r="AY103" i="1" s="1"/>
  <c r="AY104" i="1" s="1"/>
  <c r="AY105" i="1" s="1"/>
  <c r="AY106" i="1" s="1"/>
  <c r="AY107" i="1" s="1"/>
  <c r="AY108" i="1" s="1"/>
  <c r="AY109" i="1" s="1"/>
  <c r="AY110" i="1" s="1"/>
  <c r="AY111" i="1" s="1"/>
  <c r="AY112" i="1" s="1"/>
  <c r="AY113" i="1" s="1"/>
  <c r="AY114" i="1" s="1"/>
  <c r="AY115" i="1" s="1"/>
  <c r="AY116" i="1" s="1"/>
  <c r="AY117" i="1" s="1"/>
  <c r="AY118" i="1" s="1"/>
  <c r="AY119" i="1" s="1"/>
  <c r="AY120" i="1" s="1"/>
  <c r="AY121" i="1" s="1"/>
  <c r="AY122" i="1" s="1"/>
  <c r="AY123" i="1" s="1"/>
  <c r="AY124" i="1" s="1"/>
  <c r="AY125" i="1" s="1"/>
  <c r="AY126" i="1" s="1"/>
  <c r="AY127" i="1" s="1"/>
  <c r="AY128" i="1" s="1"/>
  <c r="AY129" i="1" s="1"/>
  <c r="AY130" i="1" s="1"/>
  <c r="AY131" i="1" s="1"/>
  <c r="AY132" i="1" s="1"/>
  <c r="AY133" i="1" s="1"/>
  <c r="AY134" i="1" s="1"/>
  <c r="AY135" i="1" s="1"/>
  <c r="AY136" i="1" s="1"/>
  <c r="AY137" i="1" s="1"/>
  <c r="AY138" i="1" s="1"/>
  <c r="AY139" i="1" s="1"/>
  <c r="AY140" i="1" s="1"/>
  <c r="AY141" i="1" s="1"/>
  <c r="AY142" i="1" s="1"/>
  <c r="AY143" i="1" s="1"/>
  <c r="AY144" i="1" s="1"/>
  <c r="AY145" i="1" s="1"/>
  <c r="AY146" i="1" s="1"/>
  <c r="AY147" i="1" s="1"/>
  <c r="AY148" i="1" s="1"/>
  <c r="AY149" i="1" s="1"/>
  <c r="AY150" i="1" s="1"/>
  <c r="AY151" i="1" s="1"/>
  <c r="AY152" i="1" s="1"/>
  <c r="AY153" i="1" s="1"/>
  <c r="AY154" i="1" s="1"/>
  <c r="AY155" i="1" s="1"/>
  <c r="AY156" i="1" s="1"/>
  <c r="AY157" i="1" s="1"/>
  <c r="AY158" i="1" s="1"/>
  <c r="AY159" i="1" s="1"/>
  <c r="AY160" i="1" s="1"/>
  <c r="AY161" i="1" s="1"/>
  <c r="AY162" i="1" s="1"/>
  <c r="AY163" i="1" s="1"/>
  <c r="AY164" i="1" s="1"/>
  <c r="AY165" i="1" s="1"/>
  <c r="AY166" i="1" s="1"/>
  <c r="AY167" i="1" s="1"/>
  <c r="AY168" i="1" s="1"/>
  <c r="AY169" i="1" s="1"/>
  <c r="AY170" i="1" s="1"/>
  <c r="AY171" i="1" s="1"/>
  <c r="AY172" i="1" s="1"/>
  <c r="AY173" i="1" s="1"/>
  <c r="AY174" i="1" s="1"/>
  <c r="AY175" i="1" s="1"/>
  <c r="AY176" i="1" s="1"/>
  <c r="AY177" i="1" s="1"/>
  <c r="AY178" i="1" s="1"/>
  <c r="AY179" i="1" s="1"/>
  <c r="AY180" i="1" s="1"/>
  <c r="AY181" i="1" s="1"/>
  <c r="AY182" i="1" s="1"/>
  <c r="AY183" i="1" s="1"/>
  <c r="AY184" i="1" s="1"/>
  <c r="AY185" i="1" s="1"/>
  <c r="AY186" i="1" s="1"/>
  <c r="AY187" i="1" s="1"/>
  <c r="AY188" i="1" s="1"/>
  <c r="AY189" i="1" s="1"/>
  <c r="AY190" i="1" s="1"/>
  <c r="AY191" i="1" s="1"/>
  <c r="AY192" i="1" s="1"/>
  <c r="AY193" i="1" s="1"/>
  <c r="AY194" i="1" s="1"/>
  <c r="AY195" i="1" s="1"/>
  <c r="AY196" i="1" s="1"/>
  <c r="AY197" i="1" s="1"/>
  <c r="AY198" i="1" s="1"/>
  <c r="AY199" i="1" s="1"/>
  <c r="AY200" i="1" s="1"/>
  <c r="AY201" i="1" s="1"/>
  <c r="AY202" i="1" s="1"/>
  <c r="AY203" i="1" s="1"/>
  <c r="AY204" i="1" s="1"/>
  <c r="AY205" i="1" s="1"/>
  <c r="AY206" i="1" s="1"/>
  <c r="AY207" i="1" s="1"/>
  <c r="AY208" i="1" s="1"/>
  <c r="AY209" i="1" s="1"/>
  <c r="AY210" i="1" s="1"/>
  <c r="AY211" i="1" s="1"/>
  <c r="AY212" i="1" s="1"/>
  <c r="AY213" i="1" s="1"/>
  <c r="AY214" i="1" s="1"/>
  <c r="AY215" i="1" s="1"/>
  <c r="AY216" i="1" s="1"/>
  <c r="AY217" i="1" s="1"/>
  <c r="AY218" i="1" s="1"/>
  <c r="AY219" i="1" s="1"/>
  <c r="AY220" i="1" s="1"/>
  <c r="AY221" i="1" s="1"/>
  <c r="AY222" i="1" s="1"/>
  <c r="AY223" i="1" s="1"/>
  <c r="AY224" i="1" s="1"/>
  <c r="AY225" i="1" s="1"/>
  <c r="AY226" i="1" s="1"/>
  <c r="AY227" i="1" s="1"/>
  <c r="AY228" i="1" s="1"/>
  <c r="AY229" i="1" s="1"/>
  <c r="AY230" i="1" s="1"/>
  <c r="AY231" i="1" s="1"/>
  <c r="AY232" i="1" s="1"/>
  <c r="AY233" i="1" s="1"/>
  <c r="AY234" i="1" s="1"/>
  <c r="AY235" i="1" s="1"/>
  <c r="AY236" i="1" s="1"/>
  <c r="AY237" i="1" s="1"/>
  <c r="AY238" i="1" s="1"/>
  <c r="AY239" i="1" s="1"/>
  <c r="AY240" i="1" s="1"/>
  <c r="AY241" i="1" s="1"/>
  <c r="AY242" i="1" s="1"/>
  <c r="AY243" i="1" s="1"/>
  <c r="AY244" i="1" s="1"/>
  <c r="AY245" i="1" s="1"/>
  <c r="AY246" i="1" s="1"/>
  <c r="AY247" i="1" s="1"/>
  <c r="AY248" i="1" s="1"/>
  <c r="AY249" i="1" s="1"/>
  <c r="AY250" i="1" s="1"/>
  <c r="AY251" i="1" s="1"/>
  <c r="AY252" i="1" s="1"/>
  <c r="AY253" i="1" s="1"/>
  <c r="AY254" i="1" s="1"/>
  <c r="AY255" i="1" s="1"/>
  <c r="AY256" i="1" s="1"/>
  <c r="AY257" i="1" s="1"/>
  <c r="AY258" i="1" s="1"/>
  <c r="AY259" i="1" s="1"/>
  <c r="AY260" i="1" s="1"/>
  <c r="AY261" i="1" s="1"/>
  <c r="AY262" i="1" s="1"/>
  <c r="AY263" i="1" s="1"/>
  <c r="AY264" i="1" s="1"/>
  <c r="AY265" i="1" s="1"/>
  <c r="AY266" i="1" s="1"/>
  <c r="AY267" i="1" s="1"/>
  <c r="AY268" i="1" s="1"/>
  <c r="AY269" i="1" s="1"/>
  <c r="AY270" i="1" s="1"/>
  <c r="AY271" i="1" s="1"/>
  <c r="AY272" i="1" s="1"/>
  <c r="AY273" i="1" s="1"/>
  <c r="AY274" i="1" s="1"/>
  <c r="AY275" i="1" s="1"/>
  <c r="AY276" i="1" s="1"/>
  <c r="AY277" i="1" s="1"/>
  <c r="AY278" i="1" s="1"/>
  <c r="AY279" i="1" s="1"/>
  <c r="AY280" i="1" s="1"/>
  <c r="AY281" i="1" s="1"/>
  <c r="AY282" i="1" s="1"/>
  <c r="AY283" i="1" s="1"/>
  <c r="AY284" i="1" s="1"/>
  <c r="AY285" i="1" s="1"/>
  <c r="AY286" i="1" s="1"/>
  <c r="AY287" i="1" s="1"/>
  <c r="AY288" i="1" s="1"/>
  <c r="AY289" i="1" s="1"/>
  <c r="AY290" i="1" s="1"/>
  <c r="AY291" i="1" s="1"/>
  <c r="AY292" i="1" s="1"/>
  <c r="AY293" i="1" s="1"/>
  <c r="AY294" i="1" s="1"/>
  <c r="AY295" i="1" s="1"/>
  <c r="AY296" i="1" s="1"/>
  <c r="AY297" i="1" s="1"/>
  <c r="AY298" i="1" s="1"/>
  <c r="AY299" i="1" s="1"/>
  <c r="AY300" i="1" s="1"/>
  <c r="AY301" i="1" s="1"/>
  <c r="AY302" i="1" s="1"/>
  <c r="AY303" i="1" s="1"/>
  <c r="AY304" i="1" s="1"/>
  <c r="AY305" i="1" s="1"/>
  <c r="AY306" i="1" s="1"/>
  <c r="AY307" i="1" s="1"/>
  <c r="AY308" i="1" s="1"/>
  <c r="AY309" i="1" s="1"/>
  <c r="AY310" i="1" s="1"/>
  <c r="AY311" i="1" s="1"/>
  <c r="AY312" i="1" s="1"/>
  <c r="AY313" i="1" s="1"/>
  <c r="AY314" i="1" s="1"/>
  <c r="AY315" i="1" s="1"/>
  <c r="AY316" i="1" s="1"/>
  <c r="AY317" i="1" s="1"/>
  <c r="AY318" i="1" s="1"/>
  <c r="AY319" i="1" s="1"/>
  <c r="AY320" i="1" s="1"/>
  <c r="AY321" i="1" s="1"/>
  <c r="AY322" i="1" s="1"/>
  <c r="AY323" i="1" s="1"/>
  <c r="AY324" i="1" s="1"/>
  <c r="AY325" i="1" s="1"/>
  <c r="AY326" i="1" s="1"/>
  <c r="AY327" i="1" s="1"/>
  <c r="AY328" i="1" s="1"/>
  <c r="AY329" i="1" s="1"/>
  <c r="AY330" i="1" s="1"/>
  <c r="AY331" i="1" s="1"/>
  <c r="AY332" i="1" s="1"/>
  <c r="AY333" i="1" s="1"/>
  <c r="AY334" i="1" s="1"/>
  <c r="AY335" i="1" s="1"/>
  <c r="AY336" i="1" s="1"/>
  <c r="AY337" i="1" s="1"/>
  <c r="AY338" i="1" s="1"/>
  <c r="AY339" i="1" s="1"/>
  <c r="AY340" i="1" s="1"/>
  <c r="AY341" i="1" s="1"/>
  <c r="AY342" i="1" s="1"/>
  <c r="AY343" i="1" s="1"/>
  <c r="AY344" i="1" s="1"/>
  <c r="AY345" i="1" s="1"/>
  <c r="AY346" i="1" s="1"/>
  <c r="AY347" i="1" s="1"/>
  <c r="AY348" i="1" s="1"/>
  <c r="AY349" i="1" s="1"/>
  <c r="AY350" i="1" s="1"/>
  <c r="AY351" i="1" s="1"/>
  <c r="AY352" i="1" s="1"/>
  <c r="AY353" i="1" s="1"/>
  <c r="AY354" i="1" s="1"/>
  <c r="AY355" i="1" s="1"/>
  <c r="AY356" i="1" s="1"/>
  <c r="AY357" i="1" s="1"/>
  <c r="AY358" i="1" s="1"/>
  <c r="AY359" i="1" s="1"/>
  <c r="AY360" i="1" s="1"/>
  <c r="AY361" i="1" s="1"/>
  <c r="AY362" i="1" s="1"/>
  <c r="AY363" i="1" s="1"/>
  <c r="AY364" i="1" s="1"/>
  <c r="AY365" i="1" s="1"/>
  <c r="AY366" i="1" s="1"/>
  <c r="AY367" i="1" s="1"/>
  <c r="AY368" i="1" s="1"/>
  <c r="AY369" i="1" s="1"/>
  <c r="AY370" i="1" s="1"/>
  <c r="AY371" i="1" s="1"/>
  <c r="AY372" i="1" s="1"/>
  <c r="AY373" i="1" s="1"/>
  <c r="AY374" i="1" s="1"/>
  <c r="AY375" i="1" s="1"/>
  <c r="H5" i="1"/>
  <c r="C7" i="1" l="1"/>
  <c r="AE17" i="1"/>
  <c r="AF11" i="1"/>
  <c r="AE10" i="1"/>
  <c r="AE35" i="1"/>
  <c r="AF31" i="1"/>
  <c r="AE24" i="1"/>
  <c r="AF21" i="1"/>
  <c r="AE14" i="1"/>
  <c r="BA4" i="1"/>
  <c r="AE38" i="1"/>
  <c r="AE31" i="1"/>
  <c r="BA5" i="1"/>
  <c r="BA6" i="1" s="1"/>
  <c r="BA7" i="1" s="1"/>
  <c r="BA8" i="1" s="1"/>
  <c r="AQ7" i="1"/>
  <c r="AY5" i="1"/>
  <c r="H6" i="1"/>
  <c r="H7" i="1" s="1"/>
  <c r="I5" i="1"/>
  <c r="J5" i="1" s="1"/>
  <c r="AL10" i="1" s="1"/>
  <c r="E21" i="1"/>
  <c r="E17" i="1"/>
  <c r="E23" i="1"/>
  <c r="E19" i="1"/>
  <c r="L36" i="2"/>
  <c r="E15" i="1"/>
  <c r="E13" i="1"/>
  <c r="E11" i="1"/>
  <c r="AE21" i="1" l="1"/>
  <c r="AE36" i="1"/>
  <c r="AF45" i="1"/>
  <c r="AE47" i="1"/>
  <c r="AE65" i="1"/>
  <c r="AE69" i="1"/>
  <c r="AE71" i="1"/>
  <c r="AE77" i="1"/>
  <c r="AE81" i="1"/>
  <c r="AE18" i="1"/>
  <c r="AE27" i="1"/>
  <c r="AE30" i="1"/>
  <c r="AF33" i="1"/>
  <c r="AF38" i="1"/>
  <c r="AF73" i="1"/>
  <c r="AF77" i="1"/>
  <c r="AF30" i="1"/>
  <c r="AE56" i="1"/>
  <c r="AF62" i="1"/>
  <c r="AE82" i="1"/>
  <c r="AF74" i="1"/>
  <c r="AE13" i="1"/>
  <c r="AF13" i="1"/>
  <c r="AE11" i="1"/>
  <c r="AF36" i="1"/>
  <c r="AF47" i="1"/>
  <c r="AE49" i="1"/>
  <c r="AE51" i="1"/>
  <c r="AE53" i="1"/>
  <c r="AE55" i="1"/>
  <c r="AE57" i="1"/>
  <c r="AE59" i="1"/>
  <c r="AE61" i="1"/>
  <c r="AE63" i="1"/>
  <c r="AE67" i="1"/>
  <c r="AF12" i="1"/>
  <c r="AE40" i="1"/>
  <c r="AF81" i="1"/>
  <c r="AF15" i="1"/>
  <c r="AF24" i="1"/>
  <c r="AF27" i="1"/>
  <c r="AF40" i="1"/>
  <c r="AE50" i="1"/>
  <c r="AF68" i="1"/>
  <c r="AE43" i="1"/>
  <c r="AF22" i="1"/>
  <c r="AF34" i="1"/>
  <c r="AE12" i="1"/>
  <c r="AE33" i="1"/>
  <c r="AF49" i="1"/>
  <c r="AF51" i="1"/>
  <c r="AF53" i="1"/>
  <c r="AF55" i="1"/>
  <c r="AF57" i="1"/>
  <c r="AF59" i="1"/>
  <c r="AF61" i="1"/>
  <c r="AF63" i="1"/>
  <c r="AF65" i="1"/>
  <c r="AF67" i="1"/>
  <c r="AF69" i="1"/>
  <c r="AF71" i="1"/>
  <c r="AE73" i="1"/>
  <c r="AE75" i="1"/>
  <c r="AE79" i="1"/>
  <c r="AE15" i="1"/>
  <c r="AF79" i="1"/>
  <c r="AE64" i="1"/>
  <c r="AE72" i="1"/>
  <c r="AF58" i="1"/>
  <c r="AE74" i="1"/>
  <c r="AF82" i="1"/>
  <c r="AF75" i="1"/>
  <c r="AE60" i="1"/>
  <c r="AE76" i="1"/>
  <c r="AE22" i="1"/>
  <c r="AE28" i="1"/>
  <c r="AF18" i="1"/>
  <c r="AE42" i="1"/>
  <c r="AE52" i="1"/>
  <c r="AE80" i="1"/>
  <c r="AE16" i="1"/>
  <c r="AF25" i="1"/>
  <c r="AF28" i="1"/>
  <c r="AF19" i="1"/>
  <c r="AE62" i="1"/>
  <c r="AF60" i="1"/>
  <c r="AE32" i="1"/>
  <c r="AF42" i="1"/>
  <c r="AE44" i="1"/>
  <c r="AE66" i="1"/>
  <c r="AE70" i="1"/>
  <c r="AF64" i="1"/>
  <c r="AE41" i="1"/>
  <c r="AF41" i="1"/>
  <c r="AF10" i="1"/>
  <c r="AF32" i="1"/>
  <c r="AF44" i="1"/>
  <c r="AE46" i="1"/>
  <c r="AE54" i="1"/>
  <c r="AF66" i="1"/>
  <c r="AE78" i="1"/>
  <c r="AF80" i="1"/>
  <c r="AF39" i="1"/>
  <c r="AF14" i="1"/>
  <c r="AE26" i="1"/>
  <c r="AE29" i="1"/>
  <c r="AF35" i="1"/>
  <c r="AF46" i="1"/>
  <c r="AE34" i="1"/>
  <c r="AF16" i="1"/>
  <c r="AF17" i="1"/>
  <c r="AE20" i="1"/>
  <c r="AE23" i="1"/>
  <c r="AF26" i="1"/>
  <c r="AF29" i="1"/>
  <c r="AE37" i="1"/>
  <c r="AE48" i="1"/>
  <c r="AE58" i="1"/>
  <c r="AE68" i="1"/>
  <c r="AF72" i="1"/>
  <c r="AE39" i="1"/>
  <c r="AF78" i="1"/>
  <c r="AE19" i="1"/>
  <c r="AF20" i="1"/>
  <c r="AF23" i="1"/>
  <c r="AF37" i="1"/>
  <c r="AF48" i="1"/>
  <c r="AF50" i="1"/>
  <c r="AF52" i="1"/>
  <c r="AF54" i="1"/>
  <c r="AF56" i="1"/>
  <c r="AF70" i="1"/>
  <c r="AE25" i="1"/>
  <c r="AF76" i="1"/>
  <c r="AF43" i="1"/>
  <c r="AE45" i="1"/>
  <c r="AR11" i="1"/>
  <c r="AQ11" i="1"/>
  <c r="I8" i="1"/>
  <c r="F8" i="1"/>
  <c r="BI19" i="1"/>
  <c r="BI56" i="1" s="1"/>
  <c r="BH37" i="1"/>
  <c r="BH13" i="1"/>
  <c r="BI35" i="1"/>
  <c r="BH40" i="1"/>
  <c r="BI20" i="1"/>
  <c r="BH34" i="1"/>
  <c r="BI22" i="1"/>
  <c r="BH32" i="1"/>
  <c r="BI10" i="1"/>
  <c r="BH14" i="1"/>
  <c r="BB5" i="1"/>
  <c r="BH46" i="1"/>
  <c r="BI17" i="1"/>
  <c r="BH17" i="1"/>
  <c r="BH47" i="1"/>
  <c r="BH11" i="1"/>
  <c r="BH41" i="1"/>
  <c r="BH35" i="1"/>
  <c r="BH26" i="1"/>
  <c r="BH28" i="1"/>
  <c r="BI32" i="1"/>
  <c r="BI29" i="1"/>
  <c r="BI47" i="1"/>
  <c r="BH25" i="1"/>
  <c r="BH23" i="1"/>
  <c r="BH43" i="1"/>
  <c r="BI38" i="1"/>
  <c r="BI41" i="1"/>
  <c r="BI40" i="1"/>
  <c r="BI43" i="1"/>
  <c r="BI37" i="1"/>
  <c r="BH20" i="1"/>
  <c r="BI25" i="1"/>
  <c r="BH38" i="1"/>
  <c r="BC5" i="1"/>
  <c r="BI44" i="1"/>
  <c r="BI34" i="1"/>
  <c r="BI23" i="1"/>
  <c r="BH29" i="1"/>
  <c r="BH10" i="1"/>
  <c r="BI26" i="1"/>
  <c r="BI31" i="1"/>
  <c r="BH31" i="1"/>
  <c r="BI11" i="1"/>
  <c r="BI28" i="1"/>
  <c r="BH19" i="1"/>
  <c r="BH56" i="1" s="1"/>
  <c r="BI16" i="1"/>
  <c r="BI13" i="1"/>
  <c r="BH16" i="1"/>
  <c r="BI46" i="1"/>
  <c r="BI14" i="1"/>
  <c r="BI54" i="1" s="1"/>
  <c r="BH44" i="1"/>
  <c r="BH22" i="1"/>
  <c r="AP10" i="1"/>
  <c r="AM10" i="1"/>
  <c r="AL11" i="1"/>
  <c r="AO10" i="1"/>
  <c r="AN10" i="1"/>
  <c r="G13" i="1"/>
  <c r="F13" i="1"/>
  <c r="G23" i="1"/>
  <c r="F23" i="1"/>
  <c r="F11" i="1"/>
  <c r="G11" i="1"/>
  <c r="F15" i="1"/>
  <c r="G15" i="1"/>
  <c r="H15" i="1" s="1"/>
  <c r="I15" i="1" s="1"/>
  <c r="J15" i="1" s="1"/>
  <c r="K15" i="1" s="1"/>
  <c r="G17" i="1"/>
  <c r="F17" i="1"/>
  <c r="G19" i="1"/>
  <c r="F19" i="1"/>
  <c r="F21" i="1"/>
  <c r="G21" i="1"/>
  <c r="BH72" i="1" l="1"/>
  <c r="BI72" i="1"/>
  <c r="BH50" i="1"/>
  <c r="BH54" i="1"/>
  <c r="BI64" i="1"/>
  <c r="BH66" i="1"/>
  <c r="BI58" i="1"/>
  <c r="H11" i="1"/>
  <c r="I11" i="1" s="1"/>
  <c r="J11" i="1" s="1"/>
  <c r="K11" i="1" s="1"/>
  <c r="Q12" i="1" s="1"/>
  <c r="BI66" i="1"/>
  <c r="BH68" i="1"/>
  <c r="BI50" i="1"/>
  <c r="BI70" i="1"/>
  <c r="BH70" i="1"/>
  <c r="BI62" i="1"/>
  <c r="BH64" i="1"/>
  <c r="BH52" i="1"/>
  <c r="AT6" i="1"/>
  <c r="AS6" i="1"/>
  <c r="H19" i="1"/>
  <c r="I19" i="1" s="1"/>
  <c r="J19" i="1" s="1"/>
  <c r="K19" i="1" s="1"/>
  <c r="P19" i="1" s="1"/>
  <c r="BH60" i="1"/>
  <c r="BH62" i="1"/>
  <c r="AS10" i="1"/>
  <c r="AT10" i="1"/>
  <c r="BI60" i="1"/>
  <c r="H21" i="1"/>
  <c r="I21" i="1" s="1"/>
  <c r="J21" i="1" s="1"/>
  <c r="K21" i="1" s="1"/>
  <c r="P21" i="1" s="1"/>
  <c r="BH58" i="1"/>
  <c r="BI68" i="1"/>
  <c r="BI52" i="1"/>
  <c r="H17" i="1"/>
  <c r="I17" i="1" s="1"/>
  <c r="J17" i="1" s="1"/>
  <c r="K17" i="1" s="1"/>
  <c r="N16" i="1"/>
  <c r="M15" i="1"/>
  <c r="O16" i="1"/>
  <c r="Q15" i="1"/>
  <c r="P16" i="1"/>
  <c r="L16" i="1"/>
  <c r="M16" i="1"/>
  <c r="Q16" i="1"/>
  <c r="O15" i="1"/>
  <c r="L15" i="1"/>
  <c r="N15" i="1"/>
  <c r="P15" i="1"/>
  <c r="R15" i="1"/>
  <c r="N44" i="1" s="1"/>
  <c r="R16" i="1"/>
  <c r="N45" i="1" s="1"/>
  <c r="N12" i="1"/>
  <c r="Q11" i="1"/>
  <c r="L11" i="1"/>
  <c r="N11" i="1"/>
  <c r="P11" i="1"/>
  <c r="H23" i="1"/>
  <c r="I23" i="1" s="1"/>
  <c r="J23" i="1" s="1"/>
  <c r="K23" i="1" s="1"/>
  <c r="H13" i="1"/>
  <c r="I13" i="1" s="1"/>
  <c r="J13" i="1" s="1"/>
  <c r="K13" i="1" s="1"/>
  <c r="AN11" i="1"/>
  <c r="AP11" i="1"/>
  <c r="AL12" i="1"/>
  <c r="AM11" i="1"/>
  <c r="AO11" i="1"/>
  <c r="M12" i="1" l="1"/>
  <c r="L12" i="1"/>
  <c r="R11" i="1"/>
  <c r="L44" i="1" s="1"/>
  <c r="R12" i="1"/>
  <c r="L45" i="1" s="1"/>
  <c r="M11" i="1"/>
  <c r="P12" i="1"/>
  <c r="T12" i="1" s="1"/>
  <c r="O12" i="1"/>
  <c r="U12" i="1" s="1"/>
  <c r="O11" i="1"/>
  <c r="N21" i="1"/>
  <c r="M21" i="1"/>
  <c r="L19" i="1"/>
  <c r="X19" i="1" s="1"/>
  <c r="P20" i="1"/>
  <c r="T20" i="1" s="1"/>
  <c r="N20" i="1"/>
  <c r="P33" i="1" s="1"/>
  <c r="P57" i="1" s="1"/>
  <c r="O19" i="1"/>
  <c r="P35" i="1" s="1"/>
  <c r="P53" i="1" s="1"/>
  <c r="M19" i="1"/>
  <c r="W19" i="1" s="1"/>
  <c r="R20" i="1"/>
  <c r="P45" i="1" s="1"/>
  <c r="O20" i="1"/>
  <c r="P36" i="1" s="1"/>
  <c r="P54" i="1" s="1"/>
  <c r="BC7" i="1"/>
  <c r="BB10" i="1"/>
  <c r="Q22" i="1"/>
  <c r="S22" i="1" s="1"/>
  <c r="L20" i="1"/>
  <c r="X20" i="1" s="1"/>
  <c r="N22" i="1"/>
  <c r="Q33" i="1" s="1"/>
  <c r="Q57" i="1" s="1"/>
  <c r="Q19" i="1"/>
  <c r="S19" i="1" s="1"/>
  <c r="BB7" i="1"/>
  <c r="BA10" i="1"/>
  <c r="O21" i="1"/>
  <c r="Q35" i="1" s="1"/>
  <c r="Q53" i="1" s="1"/>
  <c r="P22" i="1"/>
  <c r="Q39" i="1" s="1"/>
  <c r="Q51" i="1" s="1"/>
  <c r="Q20" i="1"/>
  <c r="S20" i="1" s="1"/>
  <c r="M20" i="1"/>
  <c r="W20" i="1" s="1"/>
  <c r="R22" i="1"/>
  <c r="Q45" i="1" s="1"/>
  <c r="L22" i="1"/>
  <c r="X22" i="1" s="1"/>
  <c r="R21" i="1"/>
  <c r="Q44" i="1" s="1"/>
  <c r="N19" i="1"/>
  <c r="V19" i="1" s="1"/>
  <c r="L21" i="1"/>
  <c r="Q26" i="1" s="1"/>
  <c r="Q62" i="1" s="1"/>
  <c r="Q21" i="1"/>
  <c r="Q41" i="1" s="1"/>
  <c r="Q47" i="1" s="1"/>
  <c r="O22" i="1"/>
  <c r="Q36" i="1" s="1"/>
  <c r="Q54" i="1" s="1"/>
  <c r="R19" i="1"/>
  <c r="P44" i="1" s="1"/>
  <c r="M22" i="1"/>
  <c r="W22" i="1" s="1"/>
  <c r="S11" i="1"/>
  <c r="L41" i="1"/>
  <c r="L47" i="1" s="1"/>
  <c r="V12" i="1"/>
  <c r="L33" i="1"/>
  <c r="L57" i="1" s="1"/>
  <c r="N38" i="1"/>
  <c r="N50" i="1" s="1"/>
  <c r="T15" i="1"/>
  <c r="U11" i="1"/>
  <c r="L35" i="1"/>
  <c r="L53" i="1" s="1"/>
  <c r="U15" i="1"/>
  <c r="N35" i="1"/>
  <c r="N53" i="1" s="1"/>
  <c r="S16" i="1"/>
  <c r="N42" i="1"/>
  <c r="N48" i="1" s="1"/>
  <c r="X16" i="1"/>
  <c r="N27" i="1"/>
  <c r="N63" i="1" s="1"/>
  <c r="X12" i="1"/>
  <c r="L27" i="1"/>
  <c r="L63" i="1" s="1"/>
  <c r="T19" i="1"/>
  <c r="P38" i="1"/>
  <c r="P50" i="1" s="1"/>
  <c r="Q38" i="1"/>
  <c r="Q50" i="1" s="1"/>
  <c r="T21" i="1"/>
  <c r="V16" i="1"/>
  <c r="N33" i="1"/>
  <c r="N57" i="1" s="1"/>
  <c r="W21" i="1"/>
  <c r="Q29" i="1"/>
  <c r="Q59" i="1" s="1"/>
  <c r="V21" i="1"/>
  <c r="Q32" i="1"/>
  <c r="Q56" i="1" s="1"/>
  <c r="N13" i="1"/>
  <c r="P13" i="1"/>
  <c r="R13" i="1"/>
  <c r="M44" i="1" s="1"/>
  <c r="M14" i="1"/>
  <c r="L14" i="1"/>
  <c r="N14" i="1"/>
  <c r="O13" i="1"/>
  <c r="P14" i="1"/>
  <c r="R14" i="1"/>
  <c r="M45" i="1" s="1"/>
  <c r="Q14" i="1"/>
  <c r="O14" i="1"/>
  <c r="M13" i="1"/>
  <c r="L13" i="1"/>
  <c r="Q13" i="1"/>
  <c r="P39" i="1"/>
  <c r="P51" i="1" s="1"/>
  <c r="L42" i="1"/>
  <c r="L48" i="1" s="1"/>
  <c r="S12" i="1"/>
  <c r="W16" i="1"/>
  <c r="N30" i="1"/>
  <c r="N60" i="1" s="1"/>
  <c r="T16" i="1"/>
  <c r="N39" i="1"/>
  <c r="N51" i="1" s="1"/>
  <c r="S15" i="1"/>
  <c r="N41" i="1"/>
  <c r="N47" i="1" s="1"/>
  <c r="L38" i="1"/>
  <c r="L50" i="1" s="1"/>
  <c r="T11" i="1"/>
  <c r="U16" i="1"/>
  <c r="N36" i="1"/>
  <c r="N54" i="1" s="1"/>
  <c r="X11" i="1"/>
  <c r="L26" i="1"/>
  <c r="L62" i="1" s="1"/>
  <c r="Q17" i="1"/>
  <c r="M18" i="1"/>
  <c r="O18" i="1"/>
  <c r="N18" i="1"/>
  <c r="Q18" i="1"/>
  <c r="L17" i="1"/>
  <c r="N17" i="1"/>
  <c r="P17" i="1"/>
  <c r="R17" i="1"/>
  <c r="O44" i="1" s="1"/>
  <c r="R18" i="1"/>
  <c r="O45" i="1" s="1"/>
  <c r="L18" i="1"/>
  <c r="P18" i="1"/>
  <c r="O17" i="1"/>
  <c r="M17" i="1"/>
  <c r="AO12" i="1"/>
  <c r="AN12" i="1"/>
  <c r="AP12" i="1"/>
  <c r="AM12" i="1"/>
  <c r="AL13" i="1"/>
  <c r="O23" i="1"/>
  <c r="P24" i="1"/>
  <c r="Q23" i="1"/>
  <c r="M24" i="1"/>
  <c r="L24" i="1"/>
  <c r="O24" i="1"/>
  <c r="R24" i="1"/>
  <c r="R45" i="1" s="1"/>
  <c r="Q24" i="1"/>
  <c r="L23" i="1"/>
  <c r="N23" i="1"/>
  <c r="R23" i="1"/>
  <c r="R44" i="1" s="1"/>
  <c r="P23" i="1"/>
  <c r="N24" i="1"/>
  <c r="M23" i="1"/>
  <c r="V15" i="1"/>
  <c r="N32" i="1"/>
  <c r="N56" i="1" s="1"/>
  <c r="X15" i="1"/>
  <c r="N26" i="1"/>
  <c r="N62" i="1" s="1"/>
  <c r="W11" i="1"/>
  <c r="L29" i="1"/>
  <c r="L59" i="1" s="1"/>
  <c r="L30" i="1"/>
  <c r="L60" i="1" s="1"/>
  <c r="W12" i="1"/>
  <c r="L32" i="1"/>
  <c r="L56" i="1" s="1"/>
  <c r="V11" i="1"/>
  <c r="W15" i="1"/>
  <c r="N29" i="1"/>
  <c r="N59" i="1" s="1"/>
  <c r="L39" i="1" l="1"/>
  <c r="L51" i="1" s="1"/>
  <c r="T22" i="1"/>
  <c r="L36" i="1"/>
  <c r="L54" i="1" s="1"/>
  <c r="V20" i="1"/>
  <c r="P26" i="1"/>
  <c r="P62" i="1" s="1"/>
  <c r="U20" i="1"/>
  <c r="S21" i="1"/>
  <c r="V22" i="1"/>
  <c r="U22" i="1"/>
  <c r="X21" i="1"/>
  <c r="Q42" i="1"/>
  <c r="Q48" i="1" s="1"/>
  <c r="Q30" i="1"/>
  <c r="Q60" i="1" s="1"/>
  <c r="U19" i="1"/>
  <c r="P41" i="1"/>
  <c r="P47" i="1" s="1"/>
  <c r="P27" i="1"/>
  <c r="P63" i="1" s="1"/>
  <c r="P29" i="1"/>
  <c r="P59" i="1" s="1"/>
  <c r="P30" i="1"/>
  <c r="P60" i="1" s="1"/>
  <c r="P42" i="1"/>
  <c r="P48" i="1" s="1"/>
  <c r="Q27" i="1"/>
  <c r="Q63" i="1" s="1"/>
  <c r="U21" i="1"/>
  <c r="P32" i="1"/>
  <c r="P56" i="1" s="1"/>
  <c r="BB8" i="1"/>
  <c r="BC8" i="1" s="1"/>
  <c r="R35" i="1"/>
  <c r="R53" i="1" s="1"/>
  <c r="U23" i="1"/>
  <c r="T17" i="1"/>
  <c r="O38" i="1"/>
  <c r="O50" i="1" s="1"/>
  <c r="X17" i="1"/>
  <c r="O26" i="1"/>
  <c r="O62" i="1" s="1"/>
  <c r="U13" i="1"/>
  <c r="M35" i="1"/>
  <c r="X24" i="1"/>
  <c r="R27" i="1"/>
  <c r="R63" i="1" s="1"/>
  <c r="T24" i="1"/>
  <c r="R39" i="1"/>
  <c r="R51" i="1" s="1"/>
  <c r="T14" i="1"/>
  <c r="M39" i="1"/>
  <c r="S18" i="1"/>
  <c r="O42" i="1"/>
  <c r="O48" i="1" s="1"/>
  <c r="AL14" i="1"/>
  <c r="AM13" i="1"/>
  <c r="AP13" i="1"/>
  <c r="AO13" i="1"/>
  <c r="AN13" i="1"/>
  <c r="S17" i="1"/>
  <c r="O41" i="1"/>
  <c r="O47" i="1" s="1"/>
  <c r="W13" i="1"/>
  <c r="M29" i="1"/>
  <c r="R30" i="1"/>
  <c r="R60" i="1" s="1"/>
  <c r="W24" i="1"/>
  <c r="U14" i="1"/>
  <c r="M36" i="1"/>
  <c r="S23" i="1"/>
  <c r="R41" i="1"/>
  <c r="R47" i="1" s="1"/>
  <c r="S14" i="1"/>
  <c r="M42" i="1"/>
  <c r="V17" i="1"/>
  <c r="O32" i="1"/>
  <c r="O56" i="1" s="1"/>
  <c r="O33" i="1"/>
  <c r="O57" i="1" s="1"/>
  <c r="V18" i="1"/>
  <c r="V14" i="1"/>
  <c r="M33" i="1"/>
  <c r="W23" i="1"/>
  <c r="R29" i="1"/>
  <c r="R59" i="1" s="1"/>
  <c r="U18" i="1"/>
  <c r="O36" i="1"/>
  <c r="O54" i="1" s="1"/>
  <c r="X14" i="1"/>
  <c r="M27" i="1"/>
  <c r="V24" i="1"/>
  <c r="R33" i="1"/>
  <c r="R57" i="1" s="1"/>
  <c r="W18" i="1"/>
  <c r="O30" i="1"/>
  <c r="O60" i="1" s="1"/>
  <c r="W14" i="1"/>
  <c r="M30" i="1"/>
  <c r="T23" i="1"/>
  <c r="R38" i="1"/>
  <c r="R50" i="1" s="1"/>
  <c r="T13" i="1"/>
  <c r="M38" i="1"/>
  <c r="V23" i="1"/>
  <c r="R32" i="1"/>
  <c r="R56" i="1" s="1"/>
  <c r="V13" i="1"/>
  <c r="M32" i="1"/>
  <c r="R26" i="1"/>
  <c r="R62" i="1" s="1"/>
  <c r="X23" i="1"/>
  <c r="O29" i="1"/>
  <c r="O59" i="1" s="1"/>
  <c r="W17" i="1"/>
  <c r="S24" i="1"/>
  <c r="R42" i="1"/>
  <c r="R48" i="1" s="1"/>
  <c r="O35" i="1"/>
  <c r="O53" i="1" s="1"/>
  <c r="U17" i="1"/>
  <c r="O39" i="1"/>
  <c r="O51" i="1" s="1"/>
  <c r="T18" i="1"/>
  <c r="S13" i="1"/>
  <c r="M41" i="1"/>
  <c r="R36" i="1"/>
  <c r="R54" i="1" s="1"/>
  <c r="U24" i="1"/>
  <c r="O27" i="1"/>
  <c r="O63" i="1" s="1"/>
  <c r="X18" i="1"/>
  <c r="X13" i="1"/>
  <c r="M26" i="1"/>
  <c r="BD14" i="1" l="1"/>
  <c r="BF19" i="1"/>
  <c r="BB12" i="1"/>
  <c r="BD17" i="1"/>
  <c r="BF22" i="1"/>
  <c r="BE25" i="1"/>
  <c r="BC31" i="1"/>
  <c r="BE36" i="1"/>
  <c r="BA42" i="1"/>
  <c r="BC47" i="1"/>
  <c r="BE52" i="1"/>
  <c r="BA58" i="1"/>
  <c r="BC29" i="1"/>
  <c r="BF34" i="1"/>
  <c r="BB40" i="1"/>
  <c r="BC45" i="1"/>
  <c r="BF50" i="1"/>
  <c r="BB56" i="1"/>
  <c r="BC61" i="1"/>
  <c r="BE65" i="1"/>
  <c r="BA71" i="1"/>
  <c r="BC76" i="1"/>
  <c r="BF81" i="1"/>
  <c r="BA64" i="1"/>
  <c r="BD69" i="1"/>
  <c r="BF74" i="1"/>
  <c r="BB80" i="1"/>
  <c r="BF14" i="1"/>
  <c r="BE31" i="1"/>
  <c r="BC42" i="1"/>
  <c r="BB53" i="1"/>
  <c r="BC58" i="1"/>
  <c r="BB35" i="1"/>
  <c r="BD40" i="1"/>
  <c r="BA51" i="1"/>
  <c r="BD56" i="1"/>
  <c r="BB66" i="1"/>
  <c r="BE76" i="1"/>
  <c r="BC64" i="1"/>
  <c r="BF69" i="1"/>
  <c r="BD80" i="1"/>
  <c r="BB18" i="1"/>
  <c r="BB30" i="1"/>
  <c r="BC51" i="1"/>
  <c r="BD66" i="1"/>
  <c r="BB77" i="1"/>
  <c r="BC75" i="1"/>
  <c r="BD15" i="1"/>
  <c r="BD18" i="1"/>
  <c r="BD32" i="1"/>
  <c r="BC48" i="1"/>
  <c r="BD30" i="1"/>
  <c r="BE51" i="1"/>
  <c r="BA72" i="1"/>
  <c r="BC70" i="1"/>
  <c r="BF82" i="1"/>
  <c r="BC32" i="1"/>
  <c r="BA33" i="1"/>
  <c r="BE59" i="1"/>
  <c r="BD78" i="1"/>
  <c r="BA44" i="1"/>
  <c r="BC11" i="1"/>
  <c r="BE44" i="1"/>
  <c r="BE55" i="1"/>
  <c r="BB20" i="1"/>
  <c r="BD12" i="1"/>
  <c r="BF17" i="1"/>
  <c r="BB23" i="1"/>
  <c r="BB26" i="1"/>
  <c r="BA37" i="1"/>
  <c r="BE47" i="1"/>
  <c r="BE29" i="1"/>
  <c r="BE45" i="1"/>
  <c r="BE61" i="1"/>
  <c r="BC71" i="1"/>
  <c r="BA82" i="1"/>
  <c r="BA75" i="1"/>
  <c r="BF26" i="1"/>
  <c r="BA48" i="1"/>
  <c r="BE58" i="1"/>
  <c r="BD35" i="1"/>
  <c r="BB46" i="1"/>
  <c r="BF56" i="1"/>
  <c r="BE71" i="1"/>
  <c r="BC82" i="1"/>
  <c r="BA70" i="1"/>
  <c r="BF80" i="1"/>
  <c r="BA27" i="1"/>
  <c r="BB43" i="1"/>
  <c r="BB59" i="1"/>
  <c r="BB41" i="1"/>
  <c r="BE60" i="1"/>
  <c r="BD77" i="1"/>
  <c r="BB65" i="1"/>
  <c r="BA81" i="1"/>
  <c r="BB61" i="1"/>
  <c r="BF37" i="1"/>
  <c r="BA83" i="1"/>
  <c r="BF27" i="1"/>
  <c r="BE43" i="1"/>
  <c r="BA73" i="1"/>
  <c r="BE38" i="1"/>
  <c r="BA68" i="1"/>
  <c r="BF16" i="1"/>
  <c r="BD57" i="1"/>
  <c r="BD63" i="1"/>
  <c r="BA45" i="1"/>
  <c r="BD74" i="1"/>
  <c r="BB15" i="1"/>
  <c r="BD20" i="1"/>
  <c r="BF12" i="1"/>
  <c r="BD23" i="1"/>
  <c r="BB32" i="1"/>
  <c r="BC37" i="1"/>
  <c r="BE42" i="1"/>
  <c r="BD53" i="1"/>
  <c r="BF40" i="1"/>
  <c r="BA60" i="1"/>
  <c r="BE64" i="1"/>
  <c r="BF20" i="1"/>
  <c r="BA13" i="1"/>
  <c r="BF23" i="1"/>
  <c r="BE37" i="1"/>
  <c r="BF53" i="1"/>
  <c r="BF35" i="1"/>
  <c r="BD46" i="1"/>
  <c r="BA57" i="1"/>
  <c r="BF66" i="1"/>
  <c r="BE82" i="1"/>
  <c r="BE75" i="1"/>
  <c r="BE66" i="1"/>
  <c r="BE53" i="1"/>
  <c r="BB67" i="1"/>
  <c r="BC40" i="1"/>
  <c r="BD54" i="1"/>
  <c r="BF54" i="1"/>
  <c r="BC73" i="1"/>
  <c r="BF28" i="1"/>
  <c r="BC65" i="1"/>
  <c r="BF15" i="1"/>
  <c r="BB21" i="1"/>
  <c r="BC13" i="1"/>
  <c r="BF18" i="1"/>
  <c r="BB24" i="1"/>
  <c r="BC27" i="1"/>
  <c r="BF32" i="1"/>
  <c r="BB38" i="1"/>
  <c r="BD43" i="1"/>
  <c r="BE48" i="1"/>
  <c r="BA54" i="1"/>
  <c r="BD59" i="1"/>
  <c r="BF30" i="1"/>
  <c r="BB36" i="1"/>
  <c r="BD41" i="1"/>
  <c r="BF46" i="1"/>
  <c r="BB52" i="1"/>
  <c r="BC57" i="1"/>
  <c r="BD61" i="1"/>
  <c r="BA67" i="1"/>
  <c r="BC72" i="1"/>
  <c r="BF77" i="1"/>
  <c r="BB83" i="1"/>
  <c r="BD65" i="1"/>
  <c r="BE70" i="1"/>
  <c r="BB76" i="1"/>
  <c r="BC81" i="1"/>
  <c r="BA16" i="1"/>
  <c r="BD21" i="1"/>
  <c r="BE13" i="1"/>
  <c r="BA19" i="1"/>
  <c r="BD24" i="1"/>
  <c r="BE27" i="1"/>
  <c r="BB33" i="1"/>
  <c r="BD38" i="1"/>
  <c r="BF43" i="1"/>
  <c r="BB49" i="1"/>
  <c r="BC54" i="1"/>
  <c r="BF59" i="1"/>
  <c r="BB31" i="1"/>
  <c r="BD36" i="1"/>
  <c r="BF41" i="1"/>
  <c r="BB47" i="1"/>
  <c r="BD52" i="1"/>
  <c r="BE57" i="1"/>
  <c r="BA62" i="1"/>
  <c r="BC67" i="1"/>
  <c r="BE72" i="1"/>
  <c r="BA78" i="1"/>
  <c r="BD83" i="1"/>
  <c r="BF65" i="1"/>
  <c r="BB71" i="1"/>
  <c r="BD76" i="1"/>
  <c r="BE81" i="1"/>
  <c r="BF47" i="1"/>
  <c r="BB68" i="1"/>
  <c r="BC60" i="1"/>
  <c r="BA77" i="1"/>
  <c r="BB79" i="1"/>
  <c r="BD48" i="1"/>
  <c r="BE77" i="1"/>
  <c r="BF45" i="1"/>
  <c r="BB64" i="1"/>
  <c r="BE56" i="1"/>
  <c r="BF78" i="1"/>
  <c r="BB22" i="1"/>
  <c r="BC41" i="1"/>
  <c r="BB50" i="1"/>
  <c r="BC79" i="1"/>
  <c r="BA61" i="1"/>
  <c r="BB11" i="1"/>
  <c r="BC16" i="1"/>
  <c r="BF21" i="1"/>
  <c r="BA14" i="1"/>
  <c r="BC19" i="1"/>
  <c r="BF24" i="1"/>
  <c r="BA28" i="1"/>
  <c r="BD33" i="1"/>
  <c r="BF38" i="1"/>
  <c r="BB44" i="1"/>
  <c r="BD49" i="1"/>
  <c r="BE54" i="1"/>
  <c r="BC24" i="1"/>
  <c r="BD31" i="1"/>
  <c r="BF36" i="1"/>
  <c r="BB42" i="1"/>
  <c r="BD47" i="1"/>
  <c r="BF52" i="1"/>
  <c r="BB58" i="1"/>
  <c r="BC62" i="1"/>
  <c r="BE67" i="1"/>
  <c r="BB73" i="1"/>
  <c r="BC78" i="1"/>
  <c r="BF83" i="1"/>
  <c r="BA66" i="1"/>
  <c r="BD71" i="1"/>
  <c r="BF76" i="1"/>
  <c r="BB82" i="1"/>
  <c r="BA22" i="1"/>
  <c r="BE19" i="1"/>
  <c r="BC28" i="1"/>
  <c r="BB39" i="1"/>
  <c r="BD44" i="1"/>
  <c r="BB55" i="1"/>
  <c r="BC25" i="1"/>
  <c r="BB37" i="1"/>
  <c r="BD42" i="1"/>
  <c r="BD58" i="1"/>
  <c r="BE62" i="1"/>
  <c r="BE78" i="1"/>
  <c r="BC66" i="1"/>
  <c r="BD82" i="1"/>
  <c r="BF73" i="1"/>
  <c r="BA59" i="1"/>
  <c r="BD79" i="1"/>
  <c r="BA35" i="1"/>
  <c r="BA80" i="1"/>
  <c r="BC33" i="1"/>
  <c r="BF62" i="1"/>
  <c r="BE24" i="1"/>
  <c r="BE46" i="1"/>
  <c r="BC39" i="1"/>
  <c r="BB81" i="1"/>
  <c r="BD34" i="1"/>
  <c r="BD11" i="1"/>
  <c r="BE16" i="1"/>
  <c r="BC14" i="1"/>
  <c r="BB25" i="1"/>
  <c r="BF33" i="1"/>
  <c r="BF49" i="1"/>
  <c r="BF31" i="1"/>
  <c r="BA53" i="1"/>
  <c r="BD73" i="1"/>
  <c r="BF71" i="1"/>
  <c r="BC77" i="1"/>
  <c r="BC63" i="1"/>
  <c r="BA74" i="1"/>
  <c r="BF29" i="1"/>
  <c r="BC69" i="1"/>
  <c r="BB60" i="1"/>
  <c r="BF60" i="1"/>
  <c r="BF11" i="1"/>
  <c r="BA17" i="1"/>
  <c r="BC22" i="1"/>
  <c r="BE14" i="1"/>
  <c r="BA20" i="1"/>
  <c r="BD25" i="1"/>
  <c r="BE28" i="1"/>
  <c r="BA34" i="1"/>
  <c r="BD39" i="1"/>
  <c r="BF44" i="1"/>
  <c r="BA50" i="1"/>
  <c r="BD55" i="1"/>
  <c r="BD26" i="1"/>
  <c r="BA32" i="1"/>
  <c r="BD37" i="1"/>
  <c r="BF42" i="1"/>
  <c r="BB48" i="1"/>
  <c r="BC53" i="1"/>
  <c r="BF58" i="1"/>
  <c r="BA63" i="1"/>
  <c r="BD68" i="1"/>
  <c r="BB72" i="1"/>
  <c r="BF68" i="1"/>
  <c r="BF61" i="1"/>
  <c r="BC26" i="1"/>
  <c r="BE74" i="1"/>
  <c r="BD64" i="1"/>
  <c r="BA65" i="1"/>
  <c r="BA12" i="1"/>
  <c r="BC17" i="1"/>
  <c r="BE22" i="1"/>
  <c r="BA15" i="1"/>
  <c r="BC20" i="1"/>
  <c r="BF25" i="1"/>
  <c r="BB29" i="1"/>
  <c r="BC34" i="1"/>
  <c r="BF39" i="1"/>
  <c r="BB45" i="1"/>
  <c r="BC50" i="1"/>
  <c r="BF55" i="1"/>
  <c r="BB27" i="1"/>
  <c r="BA43" i="1"/>
  <c r="BD72" i="1"/>
  <c r="BC56" i="1"/>
  <c r="BA49" i="1"/>
  <c r="BE83" i="1"/>
  <c r="BC49" i="1"/>
  <c r="BF13" i="1"/>
  <c r="BB34" i="1"/>
  <c r="BD50" i="1"/>
  <c r="BC12" i="1"/>
  <c r="BE17" i="1"/>
  <c r="BA23" i="1"/>
  <c r="BC15" i="1"/>
  <c r="BE20" i="1"/>
  <c r="BA26" i="1"/>
  <c r="BD29" i="1"/>
  <c r="BE34" i="1"/>
  <c r="BA40" i="1"/>
  <c r="BD45" i="1"/>
  <c r="BE50" i="1"/>
  <c r="BA56" i="1"/>
  <c r="BD27" i="1"/>
  <c r="BE32" i="1"/>
  <c r="BA38" i="1"/>
  <c r="BC43" i="1"/>
  <c r="BF48" i="1"/>
  <c r="BB54" i="1"/>
  <c r="BC59" i="1"/>
  <c r="BE63" i="1"/>
  <c r="BA69" i="1"/>
  <c r="BC74" i="1"/>
  <c r="BF79" i="1"/>
  <c r="BB62" i="1"/>
  <c r="BD67" i="1"/>
  <c r="BF72" i="1"/>
  <c r="BB78" i="1"/>
  <c r="BC83" i="1"/>
  <c r="BE15" i="1"/>
  <c r="BD62" i="1"/>
  <c r="BE69" i="1"/>
  <c r="BC55" i="1"/>
  <c r="BA76" i="1"/>
  <c r="BE12" i="1"/>
  <c r="BA18" i="1"/>
  <c r="BC23" i="1"/>
  <c r="BA21" i="1"/>
  <c r="BB51" i="1"/>
  <c r="BC38" i="1"/>
  <c r="BF67" i="1"/>
  <c r="BC80" i="1"/>
  <c r="BD70" i="1"/>
  <c r="BD81" i="1"/>
  <c r="BB13" i="1"/>
  <c r="BC18" i="1"/>
  <c r="BE23" i="1"/>
  <c r="BB16" i="1"/>
  <c r="BC21" i="1"/>
  <c r="BE26" i="1"/>
  <c r="BA30" i="1"/>
  <c r="BC35" i="1"/>
  <c r="BE40" i="1"/>
  <c r="BA46" i="1"/>
  <c r="BD51" i="1"/>
  <c r="BB28" i="1"/>
  <c r="BB75" i="1"/>
  <c r="BA36" i="1"/>
  <c r="BE68" i="1"/>
  <c r="BF70" i="1"/>
  <c r="BD13" i="1"/>
  <c r="BE18" i="1"/>
  <c r="BA11" i="1"/>
  <c r="BD16" i="1"/>
  <c r="BE21" i="1"/>
  <c r="BA24" i="1"/>
  <c r="BC30" i="1"/>
  <c r="BE35" i="1"/>
  <c r="BA41" i="1"/>
  <c r="BC46" i="1"/>
  <c r="BF51" i="1"/>
  <c r="BB57" i="1"/>
  <c r="BD28" i="1"/>
  <c r="BE33" i="1"/>
  <c r="BA39" i="1"/>
  <c r="BC44" i="1"/>
  <c r="BE49" i="1"/>
  <c r="BA55" i="1"/>
  <c r="BD60" i="1"/>
  <c r="BF64" i="1"/>
  <c r="BB70" i="1"/>
  <c r="BD75" i="1"/>
  <c r="BE80" i="1"/>
  <c r="BB63" i="1"/>
  <c r="BC68" i="1"/>
  <c r="BE73" i="1"/>
  <c r="BA79" i="1"/>
  <c r="BB19" i="1"/>
  <c r="BA52" i="1"/>
  <c r="BB74" i="1"/>
  <c r="BB69" i="1"/>
  <c r="BE30" i="1"/>
  <c r="BF75" i="1"/>
  <c r="BF63" i="1"/>
  <c r="BB14" i="1"/>
  <c r="BD19" i="1"/>
  <c r="BE11" i="1"/>
  <c r="BB17" i="1"/>
  <c r="BD22" i="1"/>
  <c r="BA25" i="1"/>
  <c r="BA31" i="1"/>
  <c r="BC36" i="1"/>
  <c r="BE41" i="1"/>
  <c r="BA47" i="1"/>
  <c r="BC52" i="1"/>
  <c r="BF57" i="1"/>
  <c r="BA29" i="1"/>
  <c r="BE39" i="1"/>
  <c r="BE79" i="1"/>
  <c r="T26" i="1"/>
  <c r="M62" i="1"/>
  <c r="T39" i="1"/>
  <c r="M51" i="1"/>
  <c r="T36" i="1"/>
  <c r="M54" i="1"/>
  <c r="T54" i="1" s="1"/>
  <c r="M50" i="1"/>
  <c r="T50" i="1" s="1"/>
  <c r="T38" i="1"/>
  <c r="T27" i="1"/>
  <c r="M63" i="1"/>
  <c r="T32" i="1"/>
  <c r="M56" i="1"/>
  <c r="M59" i="1"/>
  <c r="T29" i="1"/>
  <c r="T41" i="1"/>
  <c r="M47" i="1"/>
  <c r="M57" i="1"/>
  <c r="T33" i="1"/>
  <c r="T35" i="1"/>
  <c r="M53" i="1"/>
  <c r="M60" i="1"/>
  <c r="T30" i="1"/>
  <c r="T42" i="1"/>
  <c r="M48" i="1"/>
  <c r="AN14" i="1"/>
  <c r="AP14" i="1"/>
  <c r="AL15" i="1"/>
  <c r="AM14" i="1"/>
  <c r="AO14" i="1"/>
  <c r="T59" i="1" l="1"/>
  <c r="T47" i="1"/>
  <c r="T44" i="1"/>
  <c r="T56" i="1"/>
  <c r="AL16" i="1"/>
  <c r="AO15" i="1"/>
  <c r="AN15" i="1"/>
  <c r="AM15" i="1"/>
  <c r="AP15" i="1"/>
  <c r="T48" i="1"/>
  <c r="T45" i="1"/>
  <c r="T60" i="1"/>
  <c r="T53" i="1"/>
  <c r="T51" i="1"/>
  <c r="T57" i="1"/>
  <c r="AN16" i="1" l="1"/>
  <c r="AP16" i="1"/>
  <c r="AL17" i="1"/>
  <c r="AM16" i="1"/>
  <c r="AO16" i="1"/>
  <c r="AP17" i="1" l="1"/>
  <c r="AN17" i="1"/>
  <c r="AO17" i="1"/>
  <c r="AM17" i="1"/>
  <c r="AL18" i="1"/>
  <c r="AL19" i="1" l="1"/>
  <c r="AN18" i="1"/>
  <c r="AO18" i="1"/>
  <c r="AP18" i="1"/>
  <c r="AM18" i="1"/>
  <c r="AO19" i="1" l="1"/>
  <c r="AM19" i="1"/>
  <c r="AN19" i="1"/>
  <c r="AP19" i="1"/>
  <c r="AL20" i="1"/>
  <c r="AN20" i="1" l="1"/>
  <c r="AL21" i="1"/>
  <c r="AM20" i="1"/>
  <c r="AO20" i="1"/>
  <c r="AP20" i="1"/>
  <c r="AO21" i="1" l="1"/>
  <c r="AM21" i="1"/>
  <c r="AL22" i="1"/>
  <c r="AN21" i="1"/>
  <c r="AP21" i="1"/>
  <c r="AN22" i="1" l="1"/>
  <c r="AP22" i="1"/>
  <c r="AL23" i="1"/>
  <c r="AM22" i="1"/>
  <c r="AO22" i="1"/>
  <c r="AO23" i="1" l="1"/>
  <c r="AN23" i="1"/>
  <c r="AM23" i="1"/>
  <c r="AP23" i="1"/>
  <c r="AL24" i="1"/>
  <c r="AN24" i="1" l="1"/>
  <c r="AM24" i="1"/>
  <c r="AO24" i="1"/>
  <c r="AP24" i="1"/>
  <c r="AL25" i="1"/>
  <c r="AO25" i="1" l="1"/>
  <c r="AL26" i="1"/>
  <c r="AN25" i="1"/>
  <c r="AP25" i="1"/>
  <c r="AM25" i="1"/>
  <c r="AN26" i="1" l="1"/>
  <c r="AM26" i="1"/>
  <c r="AP26" i="1"/>
  <c r="AO26" i="1"/>
  <c r="AL27" i="1"/>
  <c r="AO27" i="1" l="1"/>
  <c r="AL28" i="1"/>
  <c r="AM27" i="1"/>
  <c r="AN27" i="1"/>
  <c r="AP27" i="1"/>
  <c r="AM28" i="1" l="1"/>
  <c r="AO28" i="1"/>
  <c r="AL29" i="1"/>
  <c r="AN28" i="1"/>
  <c r="AP28" i="1"/>
  <c r="AM29" i="1" l="1"/>
  <c r="AO29" i="1"/>
  <c r="AL30" i="1"/>
  <c r="AP29" i="1"/>
  <c r="AN29" i="1"/>
  <c r="AL31" i="1" l="1"/>
  <c r="AN30" i="1"/>
  <c r="AM30" i="1"/>
  <c r="AP30" i="1"/>
  <c r="AO30" i="1"/>
  <c r="AO31" i="1" l="1"/>
  <c r="AL32" i="1"/>
  <c r="AN31" i="1"/>
  <c r="AM31" i="1"/>
  <c r="AP31" i="1"/>
  <c r="AM32" i="1" l="1"/>
  <c r="AO32" i="1"/>
  <c r="AN32" i="1"/>
  <c r="AP32" i="1"/>
  <c r="AL33" i="1"/>
  <c r="AN33" i="1" l="1"/>
  <c r="AP33" i="1"/>
  <c r="AM33" i="1"/>
  <c r="AO33" i="1"/>
  <c r="AL34" i="1"/>
  <c r="AN34" i="1" l="1"/>
  <c r="AM34" i="1"/>
  <c r="AP34" i="1"/>
  <c r="AO34" i="1"/>
</calcChain>
</file>

<file path=xl/sharedStrings.xml><?xml version="1.0" encoding="utf-8"?>
<sst xmlns="http://schemas.openxmlformats.org/spreadsheetml/2006/main" count="110" uniqueCount="80">
  <si>
    <t>cijfers boheemse uren</t>
  </si>
  <si>
    <t>phi</t>
  </si>
  <si>
    <t>halve dag</t>
  </si>
  <si>
    <t>nacht/etmaal</t>
  </si>
  <si>
    <t>hoek 1/2 dag</t>
  </si>
  <si>
    <t>hoek 1 uur</t>
  </si>
  <si>
    <t>R</t>
  </si>
  <si>
    <t>straal klein</t>
  </si>
  <si>
    <t>x</t>
  </si>
  <si>
    <t>y</t>
  </si>
  <si>
    <t>straal equinox</t>
  </si>
  <si>
    <t>ware pl. tijd</t>
  </si>
  <si>
    <t>oranje zonnetje</t>
  </si>
  <si>
    <t>uurwerk ware pl. tijd</t>
  </si>
  <si>
    <t>uur ware pl. tijd</t>
  </si>
  <si>
    <t>straal zonnetje</t>
  </si>
  <si>
    <t>dag</t>
  </si>
  <si>
    <t>d sinds 1.1</t>
  </si>
  <si>
    <t>grootte uurwerk</t>
  </si>
  <si>
    <t>uurwerk boheemse uren</t>
  </si>
  <si>
    <t>declin</t>
  </si>
  <si>
    <t>decl</t>
  </si>
  <si>
    <t>lengte</t>
  </si>
  <si>
    <t>uh</t>
  </si>
  <si>
    <t>u</t>
  </si>
  <si>
    <t>uh-90</t>
  </si>
  <si>
    <t>uh-90+lengte</t>
  </si>
  <si>
    <t>a'</t>
  </si>
  <si>
    <t>b'</t>
  </si>
  <si>
    <t>a</t>
  </si>
  <si>
    <t>b</t>
  </si>
  <si>
    <t>eMx</t>
  </si>
  <si>
    <t>eMy</t>
  </si>
  <si>
    <t>beta</t>
  </si>
  <si>
    <t>latitude</t>
  </si>
  <si>
    <t>date</t>
  </si>
  <si>
    <t>degrees</t>
  </si>
  <si>
    <t>minutes</t>
  </si>
  <si>
    <t>day</t>
  </si>
  <si>
    <t>month</t>
  </si>
  <si>
    <t>hours</t>
  </si>
  <si>
    <t>the bohemian or italian hours (24 = sunset)</t>
  </si>
  <si>
    <t>the unequal or temporal hours (time between sunrise and sunset divided in 12 hours)</t>
  </si>
  <si>
    <t>the position of the sun in de zodiac</t>
  </si>
  <si>
    <t>local solar time</t>
  </si>
  <si>
    <t>the local solar time (blue roman figures)</t>
  </si>
  <si>
    <t>the sidereal time (blue roman figures)</t>
  </si>
  <si>
    <t>Altitude</t>
  </si>
  <si>
    <t>true local time</t>
  </si>
  <si>
    <t>hour</t>
  </si>
  <si>
    <t>rise</t>
  </si>
  <si>
    <t>set</t>
  </si>
  <si>
    <t>declination</t>
  </si>
  <si>
    <t>radius</t>
  </si>
  <si>
    <t>alpha</t>
  </si>
  <si>
    <t>day length</t>
  </si>
  <si>
    <t>summer circle</t>
  </si>
  <si>
    <t>winter circle</t>
  </si>
  <si>
    <t>equinox circle</t>
  </si>
  <si>
    <t>bohemian hours circle</t>
  </si>
  <si>
    <t>Inputs</t>
  </si>
  <si>
    <t>Email</t>
  </si>
  <si>
    <t>V1.0</t>
  </si>
  <si>
    <t>The astronomical clock in Prague, otherwise known as The Orloj, shows the relative positions of the Sun, Moon, Earth, and Zodiac constellations. It also tells the time, provides the date, and, best of all, provides some theater for its viewers on the hour, every hour. In order to provide this level of functionality, the clock is split into several distinct parts. The first is the astronomical dial. This represents the position of the Sun and Moon in the sky and other various astronomical details.This part is simulated in this spreadsheet.</t>
  </si>
  <si>
    <t>All Rights Reserved:  © Astronomy Morsels.</t>
  </si>
  <si>
    <t>I'm solely responsible for the input and express no warranty.  Use at your own risk.</t>
  </si>
  <si>
    <t>Nonetheless, this spreadsheet has been carefully reviewed, and calculation results have been compared with other applications.</t>
  </si>
  <si>
    <t>(original source: www.wijzerweb.be, website no longer existing)</t>
  </si>
  <si>
    <t>Indicator</t>
  </si>
  <si>
    <r>
      <rPr>
        <b/>
        <sz val="11"/>
        <color indexed="12"/>
        <rFont val="Calibri"/>
        <family val="2"/>
        <scheme val="minor"/>
      </rPr>
      <t>blue clock's hand</t>
    </r>
    <r>
      <rPr>
        <b/>
        <sz val="11"/>
        <rFont val="Calibri"/>
        <family val="2"/>
        <scheme val="minor"/>
      </rPr>
      <t xml:space="preserve"> </t>
    </r>
  </si>
  <si>
    <r>
      <rPr>
        <b/>
        <sz val="11"/>
        <color indexed="53"/>
        <rFont val="Calibri"/>
        <family val="2"/>
        <scheme val="minor"/>
      </rPr>
      <t>orange dot</t>
    </r>
    <r>
      <rPr>
        <b/>
        <sz val="11"/>
        <rFont val="Calibri"/>
        <family val="2"/>
        <scheme val="minor"/>
      </rPr>
      <t xml:space="preserve"> </t>
    </r>
  </si>
  <si>
    <r>
      <rPr>
        <b/>
        <sz val="11"/>
        <color indexed="12"/>
        <rFont val="Calibri"/>
        <family val="2"/>
        <scheme val="minor"/>
      </rPr>
      <t>small blue hand</t>
    </r>
    <r>
      <rPr>
        <b/>
        <sz val="11"/>
        <rFont val="Calibri"/>
        <family val="2"/>
        <scheme val="minor"/>
      </rPr>
      <t xml:space="preserve"> with the </t>
    </r>
    <r>
      <rPr>
        <b/>
        <sz val="11"/>
        <color indexed="13"/>
        <rFont val="Calibri"/>
        <family val="2"/>
        <scheme val="minor"/>
      </rPr>
      <t>y</t>
    </r>
    <r>
      <rPr>
        <b/>
        <sz val="11"/>
        <color indexed="51"/>
        <rFont val="Calibri"/>
        <family val="2"/>
        <scheme val="minor"/>
      </rPr>
      <t>ellow dot</t>
    </r>
  </si>
  <si>
    <t>where?</t>
  </si>
  <si>
    <t xml:space="preserve">on the blue ring    </t>
  </si>
  <si>
    <t xml:space="preserve">on the green ring    </t>
  </si>
  <si>
    <t xml:space="preserve">between the curved red lines    </t>
  </si>
  <si>
    <t>what?</t>
  </si>
  <si>
    <t>These are the original calculations. It is planned to do a clean up to increase readability/maintainability.</t>
  </si>
  <si>
    <r>
      <rPr>
        <b/>
        <sz val="14"/>
        <color theme="0"/>
        <rFont val="Calibri (Body)"/>
      </rPr>
      <t>Compiled by</t>
    </r>
    <r>
      <rPr>
        <sz val="14"/>
        <color theme="0"/>
        <rFont val="Calibri (Body)"/>
      </rPr>
      <t>: Anton Viola (Astronomy Morsels).</t>
    </r>
  </si>
  <si>
    <r>
      <rPr>
        <b/>
        <sz val="14"/>
        <color theme="0"/>
        <rFont val="Calibri (Body)"/>
      </rPr>
      <t>Latest update</t>
    </r>
    <r>
      <rPr>
        <sz val="14"/>
        <color theme="0"/>
        <rFont val="Calibri (Body)"/>
      </rPr>
      <t>: 16th April,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</si>
</sst>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Verdana"/>
    </font>
    <font>
      <b/>
      <sz val="10"/>
      <name val="Verdana"/>
      <family val="2"/>
    </font>
    <font>
      <sz val="8"/>
      <name val="Verdana"/>
      <family val="2"/>
    </font>
    <font>
      <sz val="12"/>
      <color theme="1"/>
      <name val="Calibri"/>
      <family val="2"/>
      <scheme val="minor"/>
    </font>
    <font>
      <i/>
      <sz val="14"/>
      <color theme="0"/>
      <name val="Calibri"/>
      <family val="2"/>
    </font>
    <font>
      <u/>
      <sz val="12"/>
      <color theme="10"/>
      <name val="Calibri"/>
      <family val="2"/>
      <scheme val="minor"/>
    </font>
    <font>
      <i/>
      <sz val="12"/>
      <color theme="1"/>
      <name val="Calibri"/>
      <family val="2"/>
      <scheme val="minor"/>
    </font>
    <font>
      <sz val="11"/>
      <name val="Calibri"/>
      <family val="2"/>
    </font>
    <font>
      <b/>
      <sz val="11"/>
      <name val="Calibri"/>
      <family val="2"/>
    </font>
    <font>
      <b/>
      <sz val="11"/>
      <color indexed="60"/>
      <name val="Calibri"/>
      <family val="2"/>
    </font>
    <font>
      <b/>
      <sz val="11"/>
      <color indexed="10"/>
      <name val="Calibri"/>
      <family val="2"/>
    </font>
    <font>
      <sz val="10"/>
      <name val="Calibri"/>
      <family val="2"/>
      <scheme val="minor"/>
    </font>
    <font>
      <sz val="11"/>
      <name val="Calibri"/>
      <family val="2"/>
      <scheme val="minor"/>
    </font>
    <font>
      <b/>
      <sz val="11"/>
      <name val="Calibri"/>
      <family val="2"/>
      <scheme val="minor"/>
    </font>
    <font>
      <b/>
      <sz val="11"/>
      <color indexed="12"/>
      <name val="Calibri"/>
      <family val="2"/>
      <scheme val="minor"/>
    </font>
    <font>
      <b/>
      <sz val="11"/>
      <color indexed="17"/>
      <name val="Calibri"/>
      <family val="2"/>
      <scheme val="minor"/>
    </font>
    <font>
      <b/>
      <sz val="11"/>
      <color indexed="53"/>
      <name val="Calibri"/>
      <family val="2"/>
      <scheme val="minor"/>
    </font>
    <font>
      <b/>
      <sz val="11"/>
      <color indexed="10"/>
      <name val="Calibri"/>
      <family val="2"/>
      <scheme val="minor"/>
    </font>
    <font>
      <b/>
      <sz val="11"/>
      <color indexed="13"/>
      <name val="Calibri"/>
      <family val="2"/>
      <scheme val="minor"/>
    </font>
    <font>
      <b/>
      <sz val="11"/>
      <color indexed="51"/>
      <name val="Calibri"/>
      <family val="2"/>
      <scheme val="minor"/>
    </font>
    <font>
      <sz val="12"/>
      <name val="Calibri"/>
      <family val="2"/>
    </font>
    <font>
      <b/>
      <sz val="14"/>
      <color rgb="FFFF0000"/>
      <name val="Calibri"/>
      <family val="2"/>
      <scheme val="minor"/>
    </font>
    <font>
      <sz val="14"/>
      <color theme="0"/>
      <name val="Calibri (Body)"/>
    </font>
    <font>
      <b/>
      <sz val="14"/>
      <color theme="0"/>
      <name val="Calibri (Body)"/>
    </font>
    <font>
      <u/>
      <sz val="14"/>
      <color theme="0"/>
      <name val="Calibri"/>
      <family val="2"/>
      <scheme val="minor"/>
    </font>
    <font>
      <u/>
      <sz val="14"/>
      <color theme="0"/>
      <name val="Calibri (Body)"/>
    </font>
    <font>
      <u/>
      <sz val="12"/>
      <color theme="0"/>
      <name val="Calibri"/>
      <family val="2"/>
    </font>
    <font>
      <sz val="9"/>
      <color theme="0"/>
      <name val="Calibri"/>
      <family val="2"/>
    </font>
  </fonts>
  <fills count="7">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xf numFmtId="0" fontId="5" fillId="0" borderId="0" applyNumberFormat="0" applyFill="0" applyBorder="0" applyAlignment="0" applyProtection="0"/>
  </cellStyleXfs>
  <cellXfs count="92">
    <xf numFmtId="0" fontId="0" fillId="0" borderId="0" xfId="0"/>
    <xf numFmtId="0" fontId="1" fillId="0" borderId="0" xfId="0" applyFont="1" applyAlignment="1">
      <alignment horizontal="left" vertical="top"/>
    </xf>
    <xf numFmtId="4" fontId="0" fillId="0" borderId="0" xfId="0" applyNumberFormat="1" applyAlignment="1" applyProtection="1">
      <alignment horizontal="center"/>
      <protection hidden="1"/>
    </xf>
    <xf numFmtId="0" fontId="7" fillId="0" borderId="0" xfId="0" applyFont="1"/>
    <xf numFmtId="0" fontId="8" fillId="4" borderId="0" xfId="0" applyFont="1" applyFill="1" applyAlignment="1">
      <alignment horizontal="right"/>
    </xf>
    <xf numFmtId="0" fontId="9" fillId="0" borderId="0" xfId="0" applyFont="1" applyAlignment="1">
      <alignment horizontal="center"/>
    </xf>
    <xf numFmtId="0" fontId="10" fillId="0" borderId="0" xfId="0" applyFont="1"/>
    <xf numFmtId="4" fontId="7" fillId="0" borderId="6" xfId="0" applyNumberFormat="1" applyFont="1" applyBorder="1" applyAlignment="1">
      <alignment horizontal="left"/>
    </xf>
    <xf numFmtId="4" fontId="7" fillId="0" borderId="8" xfId="0" applyNumberFormat="1" applyFont="1" applyBorder="1" applyAlignment="1">
      <alignment horizontal="right"/>
    </xf>
    <xf numFmtId="4" fontId="7" fillId="0" borderId="2" xfId="0" applyNumberFormat="1" applyFont="1" applyBorder="1" applyAlignment="1">
      <alignment horizontal="right"/>
    </xf>
    <xf numFmtId="4" fontId="7" fillId="0" borderId="9" xfId="0" applyNumberFormat="1" applyFont="1" applyBorder="1" applyAlignment="1">
      <alignment horizontal="right"/>
    </xf>
    <xf numFmtId="0" fontId="7" fillId="0" borderId="2" xfId="0" applyFont="1" applyBorder="1" applyAlignment="1">
      <alignment horizontal="right"/>
    </xf>
    <xf numFmtId="4" fontId="7" fillId="0" borderId="3" xfId="0" applyNumberFormat="1" applyFont="1" applyBorder="1" applyAlignment="1">
      <alignment horizontal="right"/>
    </xf>
    <xf numFmtId="3" fontId="8" fillId="4" borderId="9" xfId="0" applyNumberFormat="1" applyFont="1" applyFill="1" applyBorder="1" applyAlignment="1" applyProtection="1">
      <alignment horizontal="right"/>
      <protection locked="0"/>
    </xf>
    <xf numFmtId="1" fontId="8" fillId="4" borderId="9" xfId="0" applyNumberFormat="1" applyFont="1" applyFill="1" applyBorder="1" applyAlignment="1" applyProtection="1">
      <alignment horizontal="right"/>
      <protection locked="0"/>
    </xf>
    <xf numFmtId="3" fontId="8" fillId="4" borderId="5" xfId="0" applyNumberFormat="1" applyFont="1" applyFill="1" applyBorder="1" applyAlignment="1" applyProtection="1">
      <alignment horizontal="right"/>
      <protection locked="0"/>
    </xf>
    <xf numFmtId="4" fontId="8" fillId="4" borderId="9" xfId="0" applyNumberFormat="1" applyFont="1" applyFill="1" applyBorder="1" applyAlignment="1" applyProtection="1">
      <alignment horizontal="right"/>
      <protection locked="0"/>
    </xf>
    <xf numFmtId="0" fontId="11" fillId="0" borderId="0" xfId="0" applyFont="1"/>
    <xf numFmtId="0" fontId="12" fillId="0" borderId="0" xfId="0" applyFont="1"/>
    <xf numFmtId="0" fontId="13" fillId="0" borderId="6" xfId="0" applyFont="1" applyBorder="1"/>
    <xf numFmtId="0" fontId="12" fillId="0" borderId="7" xfId="0" applyFont="1" applyBorder="1"/>
    <xf numFmtId="0" fontId="13" fillId="0" borderId="7" xfId="0" applyFont="1" applyBorder="1"/>
    <xf numFmtId="0" fontId="14" fillId="0" borderId="7" xfId="0" applyFont="1" applyBorder="1" applyAlignment="1">
      <alignment horizontal="right"/>
    </xf>
    <xf numFmtId="0" fontId="13" fillId="0" borderId="8" xfId="0" applyFont="1" applyBorder="1"/>
    <xf numFmtId="0" fontId="13" fillId="0" borderId="3" xfId="0" applyFont="1" applyBorder="1"/>
    <xf numFmtId="0" fontId="12" fillId="0" borderId="4" xfId="0" applyFont="1" applyBorder="1"/>
    <xf numFmtId="0" fontId="13" fillId="0" borderId="4" xfId="0" applyFont="1" applyBorder="1"/>
    <xf numFmtId="0" fontId="15" fillId="0" borderId="4" xfId="0" applyFont="1" applyBorder="1" applyAlignment="1">
      <alignment horizontal="right"/>
    </xf>
    <xf numFmtId="0" fontId="13" fillId="0" borderId="5" xfId="0" applyFont="1" applyBorder="1"/>
    <xf numFmtId="0" fontId="13" fillId="0" borderId="2" xfId="0" applyFont="1" applyBorder="1"/>
    <xf numFmtId="0" fontId="13" fillId="0" borderId="0" xfId="0" applyFont="1"/>
    <xf numFmtId="0" fontId="20" fillId="0" borderId="0" xfId="0" applyFont="1"/>
    <xf numFmtId="0" fontId="13" fillId="0" borderId="0" xfId="0" applyFont="1" applyAlignment="1">
      <alignment horizontal="right"/>
    </xf>
    <xf numFmtId="0" fontId="13" fillId="0" borderId="13" xfId="0" applyFont="1" applyBorder="1"/>
    <xf numFmtId="0" fontId="12" fillId="0" borderId="14" xfId="0" applyFont="1" applyBorder="1"/>
    <xf numFmtId="0" fontId="13" fillId="0" borderId="14" xfId="0" applyFont="1" applyBorder="1"/>
    <xf numFmtId="0" fontId="14" fillId="0" borderId="14" xfId="0" applyFont="1" applyBorder="1" applyAlignment="1">
      <alignment horizontal="right"/>
    </xf>
    <xf numFmtId="0" fontId="0" fillId="0" borderId="14" xfId="0" applyBorder="1"/>
    <xf numFmtId="0" fontId="13" fillId="0" borderId="15" xfId="0" applyFont="1" applyBorder="1"/>
    <xf numFmtId="0" fontId="17" fillId="0" borderId="0" xfId="0" applyFont="1" applyAlignment="1">
      <alignment horizontal="right"/>
    </xf>
    <xf numFmtId="0" fontId="0" fillId="0" borderId="7" xfId="0" applyBorder="1"/>
    <xf numFmtId="0" fontId="0" fillId="0" borderId="4" xfId="0" applyBorder="1"/>
    <xf numFmtId="4" fontId="21" fillId="0" borderId="0" xfId="0" applyNumberFormat="1" applyFont="1" applyAlignment="1" applyProtection="1">
      <alignment horizontal="left"/>
      <protection hidden="1"/>
    </xf>
    <xf numFmtId="4" fontId="12" fillId="0" borderId="0" xfId="0" applyNumberFormat="1" applyFont="1" applyAlignment="1" applyProtection="1">
      <alignment horizontal="center"/>
      <protection hidden="1"/>
    </xf>
    <xf numFmtId="2" fontId="12" fillId="0" borderId="0" xfId="0" applyNumberFormat="1" applyFont="1" applyAlignment="1" applyProtection="1">
      <alignment horizontal="center"/>
      <protection hidden="1"/>
    </xf>
    <xf numFmtId="1" fontId="12" fillId="0" borderId="0" xfId="0" applyNumberFormat="1" applyFont="1" applyAlignment="1" applyProtection="1">
      <alignment horizontal="center"/>
      <protection hidden="1"/>
    </xf>
    <xf numFmtId="3" fontId="12" fillId="0" borderId="0" xfId="0" applyNumberFormat="1" applyFont="1" applyAlignment="1" applyProtection="1">
      <alignment horizontal="center"/>
      <protection hidden="1"/>
    </xf>
    <xf numFmtId="4" fontId="13" fillId="2" borderId="1" xfId="0" applyNumberFormat="1" applyFont="1" applyFill="1" applyBorder="1" applyAlignment="1" applyProtection="1">
      <alignment horizontal="center"/>
      <protection hidden="1"/>
    </xf>
    <xf numFmtId="4" fontId="12" fillId="0" borderId="0" xfId="0" applyNumberFormat="1" applyFont="1" applyAlignment="1" applyProtection="1">
      <alignment horizontal="left"/>
      <protection hidden="1"/>
    </xf>
    <xf numFmtId="4" fontId="12" fillId="0" borderId="6" xfId="0" applyNumberFormat="1" applyFont="1" applyBorder="1" applyAlignment="1" applyProtection="1">
      <alignment horizontal="center"/>
      <protection hidden="1"/>
    </xf>
    <xf numFmtId="4" fontId="12" fillId="0" borderId="7" xfId="0" applyNumberFormat="1" applyFont="1" applyBorder="1" applyAlignment="1" applyProtection="1">
      <alignment horizontal="center"/>
      <protection hidden="1"/>
    </xf>
    <xf numFmtId="4" fontId="13" fillId="0" borderId="7" xfId="0" applyNumberFormat="1" applyFont="1" applyBorder="1" applyAlignment="1" applyProtection="1">
      <alignment horizontal="center"/>
      <protection hidden="1"/>
    </xf>
    <xf numFmtId="2" fontId="13" fillId="0" borderId="7" xfId="0" applyNumberFormat="1" applyFont="1" applyBorder="1" applyAlignment="1" applyProtection="1">
      <alignment horizontal="center"/>
      <protection hidden="1"/>
    </xf>
    <xf numFmtId="4" fontId="12" fillId="0" borderId="8" xfId="0" applyNumberFormat="1" applyFont="1" applyBorder="1" applyAlignment="1" applyProtection="1">
      <alignment horizontal="center"/>
      <protection hidden="1"/>
    </xf>
    <xf numFmtId="4" fontId="12" fillId="3" borderId="2" xfId="0" applyNumberFormat="1" applyFont="1" applyFill="1" applyBorder="1" applyAlignment="1" applyProtection="1">
      <alignment horizontal="center"/>
      <protection hidden="1"/>
    </xf>
    <xf numFmtId="4" fontId="12" fillId="3" borderId="0" xfId="0" applyNumberFormat="1" applyFont="1" applyFill="1" applyAlignment="1" applyProtection="1">
      <alignment horizontal="center"/>
      <protection hidden="1"/>
    </xf>
    <xf numFmtId="4" fontId="12" fillId="0" borderId="9" xfId="0" applyNumberFormat="1" applyFont="1" applyBorder="1" applyAlignment="1" applyProtection="1">
      <alignment horizontal="center"/>
      <protection hidden="1"/>
    </xf>
    <xf numFmtId="4" fontId="12" fillId="0" borderId="2" xfId="0" applyNumberFormat="1" applyFont="1" applyBorder="1" applyAlignment="1" applyProtection="1">
      <alignment horizontal="center"/>
      <protection hidden="1"/>
    </xf>
    <xf numFmtId="4" fontId="12" fillId="0" borderId="3" xfId="0" applyNumberFormat="1" applyFont="1" applyBorder="1" applyAlignment="1" applyProtection="1">
      <alignment horizontal="center"/>
      <protection hidden="1"/>
    </xf>
    <xf numFmtId="4" fontId="12" fillId="0" borderId="4" xfId="0" applyNumberFormat="1" applyFont="1" applyBorder="1" applyAlignment="1" applyProtection="1">
      <alignment horizontal="center"/>
      <protection hidden="1"/>
    </xf>
    <xf numFmtId="2" fontId="12" fillId="0" borderId="4" xfId="0" applyNumberFormat="1" applyFont="1" applyBorder="1" applyAlignment="1" applyProtection="1">
      <alignment horizontal="center"/>
      <protection hidden="1"/>
    </xf>
    <xf numFmtId="4" fontId="12" fillId="0" borderId="5" xfId="0" applyNumberFormat="1" applyFont="1" applyBorder="1" applyAlignment="1" applyProtection="1">
      <alignment horizontal="center"/>
      <protection hidden="1"/>
    </xf>
    <xf numFmtId="4" fontId="13" fillId="0" borderId="0" xfId="0" applyNumberFormat="1" applyFont="1" applyAlignment="1" applyProtection="1">
      <alignment horizontal="center"/>
      <protection hidden="1"/>
    </xf>
    <xf numFmtId="3" fontId="13" fillId="5" borderId="1" xfId="0" applyNumberFormat="1" applyFont="1" applyFill="1" applyBorder="1" applyAlignment="1" applyProtection="1">
      <alignment horizontal="center"/>
      <protection hidden="1"/>
    </xf>
    <xf numFmtId="4" fontId="12" fillId="5" borderId="9" xfId="0" applyNumberFormat="1" applyFont="1" applyFill="1" applyBorder="1" applyAlignment="1" applyProtection="1">
      <alignment horizontal="center"/>
      <protection hidden="1"/>
    </xf>
    <xf numFmtId="4" fontId="13" fillId="5" borderId="9" xfId="0" applyNumberFormat="1" applyFont="1" applyFill="1" applyBorder="1" applyAlignment="1" applyProtection="1">
      <alignment horizontal="center"/>
      <protection hidden="1"/>
    </xf>
    <xf numFmtId="4" fontId="12" fillId="0" borderId="2" xfId="0" applyNumberFormat="1" applyFont="1" applyBorder="1" applyAlignment="1" applyProtection="1">
      <alignment horizontal="left"/>
      <protection hidden="1"/>
    </xf>
    <xf numFmtId="0" fontId="22" fillId="6" borderId="6" xfId="1" applyFont="1" applyFill="1" applyBorder="1" applyAlignment="1">
      <alignment horizontal="left"/>
    </xf>
    <xf numFmtId="0" fontId="22" fillId="6" borderId="7" xfId="1" applyFont="1" applyFill="1" applyBorder="1" applyAlignment="1">
      <alignment horizontal="center"/>
    </xf>
    <xf numFmtId="0" fontId="22" fillId="6" borderId="7" xfId="1" applyFont="1" applyFill="1" applyBorder="1"/>
    <xf numFmtId="0" fontId="24" fillId="6" borderId="8" xfId="2" applyFont="1" applyFill="1" applyBorder="1" applyAlignment="1">
      <alignment horizontal="center"/>
    </xf>
    <xf numFmtId="0" fontId="25" fillId="6" borderId="2" xfId="2" applyFont="1" applyFill="1" applyBorder="1" applyAlignment="1">
      <alignment horizontal="left"/>
    </xf>
    <xf numFmtId="0" fontId="22" fillId="6" borderId="0" xfId="1" applyFont="1" applyFill="1" applyAlignment="1">
      <alignment horizontal="center"/>
    </xf>
    <xf numFmtId="0" fontId="22" fillId="6" borderId="0" xfId="1" applyFont="1" applyFill="1"/>
    <xf numFmtId="0" fontId="22" fillId="6" borderId="9" xfId="1" applyFont="1" applyFill="1" applyBorder="1" applyAlignment="1">
      <alignment horizontal="center"/>
    </xf>
    <xf numFmtId="0" fontId="22" fillId="6" borderId="3" xfId="2" applyFont="1" applyFill="1" applyBorder="1" applyAlignment="1">
      <alignment horizontal="left"/>
    </xf>
    <xf numFmtId="0" fontId="22" fillId="6" borderId="4" xfId="2" applyFont="1" applyFill="1" applyBorder="1" applyAlignment="1">
      <alignment horizontal="left"/>
    </xf>
    <xf numFmtId="0" fontId="22" fillId="6" borderId="4" xfId="1" applyFont="1" applyFill="1" applyBorder="1"/>
    <xf numFmtId="0" fontId="23" fillId="6" borderId="5" xfId="1" applyFont="1" applyFill="1" applyBorder="1" applyAlignment="1">
      <alignment horizontal="center"/>
    </xf>
    <xf numFmtId="0" fontId="4" fillId="6" borderId="0" xfId="1" applyFont="1" applyFill="1" applyAlignment="1">
      <alignment horizontal="center" vertical="center" wrapText="1"/>
    </xf>
    <xf numFmtId="0" fontId="26" fillId="6" borderId="6" xfId="2" applyFont="1" applyFill="1" applyBorder="1" applyAlignment="1">
      <alignment horizontal="center"/>
    </xf>
    <xf numFmtId="0" fontId="26" fillId="6" borderId="7" xfId="2" applyFont="1" applyFill="1" applyBorder="1" applyAlignment="1">
      <alignment horizontal="center"/>
    </xf>
    <xf numFmtId="0" fontId="26" fillId="6" borderId="10" xfId="2" applyFont="1" applyFill="1" applyBorder="1" applyAlignment="1">
      <alignment horizontal="center"/>
    </xf>
    <xf numFmtId="0" fontId="27" fillId="6" borderId="2" xfId="0" applyFont="1" applyFill="1" applyBorder="1" applyAlignment="1">
      <alignment horizontal="center"/>
    </xf>
    <xf numFmtId="0" fontId="27" fillId="6" borderId="0" xfId="0" applyFont="1" applyFill="1" applyAlignment="1">
      <alignment horizontal="center"/>
    </xf>
    <xf numFmtId="0" fontId="27" fillId="6" borderId="11" xfId="0" applyFont="1" applyFill="1" applyBorder="1" applyAlignment="1">
      <alignment horizontal="center"/>
    </xf>
    <xf numFmtId="0" fontId="27" fillId="6" borderId="3" xfId="0" applyFont="1" applyFill="1" applyBorder="1" applyAlignment="1">
      <alignment horizontal="center"/>
    </xf>
    <xf numFmtId="0" fontId="27" fillId="6" borderId="4" xfId="0" applyFont="1" applyFill="1" applyBorder="1" applyAlignment="1">
      <alignment horizontal="center"/>
    </xf>
    <xf numFmtId="0" fontId="27" fillId="6" borderId="12" xfId="0" applyFont="1" applyFill="1" applyBorder="1" applyAlignment="1">
      <alignment horizontal="center"/>
    </xf>
    <xf numFmtId="0" fontId="3" fillId="6" borderId="0" xfId="1" applyFill="1"/>
    <xf numFmtId="0" fontId="6" fillId="6" borderId="0" xfId="1" applyFont="1" applyFill="1" applyAlignment="1">
      <alignment horizontal="center"/>
    </xf>
    <xf numFmtId="0" fontId="0" fillId="6" borderId="0" xfId="0" applyFill="1"/>
  </cellXfs>
  <cellStyles count="3">
    <cellStyle name="Hyperlink 2" xfId="2" xr:uid="{00000000-0005-0000-0000-000000000000}"/>
    <cellStyle name="Normal" xfId="0" builtinId="0"/>
    <cellStyle name="Normal 2"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123925671675759E-2"/>
          <c:y val="2.1067430178133627E-2"/>
          <c:w val="0.95722851739450443"/>
          <c:h val="0.95927032077768448"/>
        </c:manualLayout>
      </c:layout>
      <c:scatterChart>
        <c:scatterStyle val="smoothMarker"/>
        <c:varyColors val="0"/>
        <c:ser>
          <c:idx val="7"/>
          <c:order val="0"/>
          <c:spPr>
            <a:ln w="25400">
              <a:solidFill>
                <a:srgbClr val="DD2D32"/>
              </a:solidFill>
              <a:prstDash val="solid"/>
            </a:ln>
          </c:spPr>
          <c:marker>
            <c:symbol val="none"/>
          </c:marker>
          <c:dLbls>
            <c:dLbl>
              <c:idx val="8"/>
              <c:tx>
                <c:rich>
                  <a:bodyPr/>
                  <a:lstStyle/>
                  <a:p>
                    <a:pPr>
                      <a:defRPr sz="1075" b="1" i="0" u="none" strike="noStrike" baseline="0">
                        <a:solidFill>
                          <a:srgbClr val="DD0806"/>
                        </a:solidFill>
                        <a:latin typeface="Verdana"/>
                        <a:ea typeface="Verdana"/>
                        <a:cs typeface="Verdana"/>
                      </a:defRPr>
                    </a:pPr>
                    <a:r>
                      <a:rPr lang="en-US"/>
                      <a:t>1</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A4BD-6C4C-88C9-B139B31776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Calculations!$L$26:$T$26</c:f>
              <c:numCache>
                <c:formatCode>0.00</c:formatCode>
                <c:ptCount val="9"/>
                <c:pt idx="0" formatCode="#,##0.00">
                  <c:v>-90.051217679591176</c:v>
                </c:pt>
                <c:pt idx="1">
                  <c:v>-87.733210415059389</c:v>
                </c:pt>
                <c:pt idx="2" formatCode="#,##0.00">
                  <c:v>-78.322994070469477</c:v>
                </c:pt>
                <c:pt idx="3" formatCode="#,##0.00">
                  <c:v>-63.245553203367592</c:v>
                </c:pt>
                <c:pt idx="4" formatCode="#,##0.00">
                  <c:v>-48.951871294043436</c:v>
                </c:pt>
                <c:pt idx="5" formatCode="#,##0.00">
                  <c:v>-39.418185228926141</c:v>
                </c:pt>
                <c:pt idx="6" formatCode="#,##0.00">
                  <c:v>-36.020487076919117</c:v>
                </c:pt>
                <c:pt idx="8" formatCode="#,##0.00">
                  <c:v>-90.979577432616722</c:v>
                </c:pt>
              </c:numCache>
            </c:numRef>
          </c:xVal>
          <c:yVal>
            <c:numRef>
              <c:f>Calculations!$L$27:$T$27</c:f>
              <c:numCache>
                <c:formatCode>0.00</c:formatCode>
                <c:ptCount val="9"/>
                <c:pt idx="0" formatCode="#,##0.00">
                  <c:v>-43.483079399586003</c:v>
                </c:pt>
                <c:pt idx="1">
                  <c:v>-34.723184977260146</c:v>
                </c:pt>
                <c:pt idx="2" formatCode="#,##0.00">
                  <c:v>-16.294434627725018</c:v>
                </c:pt>
                <c:pt idx="3" formatCode="#,##0.00">
                  <c:v>3.8742595893473368E-15</c:v>
                </c:pt>
                <c:pt idx="4" formatCode="#,##0.00">
                  <c:v>10.184021642328101</c:v>
                </c:pt>
                <c:pt idx="5" formatCode="#,##0.00">
                  <c:v>15.600989986534964</c:v>
                </c:pt>
                <c:pt idx="6" formatCode="#,##0.00">
                  <c:v>17.393231762288668</c:v>
                </c:pt>
                <c:pt idx="8" formatCode="#,##0.00">
                  <c:v>-19.825693601146689</c:v>
                </c:pt>
              </c:numCache>
            </c:numRef>
          </c:yVal>
          <c:smooth val="1"/>
          <c:extLst>
            <c:ext xmlns:c16="http://schemas.microsoft.com/office/drawing/2014/chart" uri="{C3380CC4-5D6E-409C-BE32-E72D297353CC}">
              <c16:uniqueId val="{00000002-A4BD-6C4C-88C9-B139B3177669}"/>
            </c:ext>
          </c:extLst>
        </c:ser>
        <c:ser>
          <c:idx val="8"/>
          <c:order val="1"/>
          <c:spPr>
            <a:ln w="25400">
              <a:solidFill>
                <a:srgbClr val="DD2D32"/>
              </a:solidFill>
              <a:prstDash val="solid"/>
            </a:ln>
          </c:spPr>
          <c:marker>
            <c:symbol val="none"/>
          </c:marker>
          <c:dLbls>
            <c:dLbl>
              <c:idx val="8"/>
              <c:tx>
                <c:rich>
                  <a:bodyPr/>
                  <a:lstStyle/>
                  <a:p>
                    <a:pPr>
                      <a:defRPr sz="1075" b="1" i="0" u="none" strike="noStrike" baseline="0">
                        <a:solidFill>
                          <a:srgbClr val="DD0806"/>
                        </a:solidFill>
                        <a:latin typeface="Verdana"/>
                        <a:ea typeface="Verdana"/>
                        <a:cs typeface="Verdana"/>
                      </a:defRPr>
                    </a:pPr>
                    <a:r>
                      <a:rPr lang="en-US"/>
                      <a:t>2</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A4BD-6C4C-88C9-B139B31776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Calculations!$L$29:$T$29</c:f>
              <c:numCache>
                <c:formatCode>0.00</c:formatCode>
                <c:ptCount val="9"/>
                <c:pt idx="0" formatCode="#,##0.00">
                  <c:v>-99.361372723341788</c:v>
                </c:pt>
                <c:pt idx="1">
                  <c:v>-94.225944450174055</c:v>
                </c:pt>
                <c:pt idx="2" formatCode="#,##0.00">
                  <c:v>-79.669935551834541</c:v>
                </c:pt>
                <c:pt idx="3" formatCode="#,##0.00">
                  <c:v>-61.090513237072074</c:v>
                </c:pt>
                <c:pt idx="4" formatCode="#,##0.00">
                  <c:v>-45.391233461896938</c:v>
                </c:pt>
                <c:pt idx="5" formatCode="#,##0.00">
                  <c:v>-35.556373350074423</c:v>
                </c:pt>
                <c:pt idx="6" formatCode="#,##0.00">
                  <c:v>-32.163087069199811</c:v>
                </c:pt>
                <c:pt idx="8" formatCode="#,##0.00">
                  <c:v>-92.551374834639049</c:v>
                </c:pt>
              </c:numCache>
            </c:numRef>
          </c:xVal>
          <c:yVal>
            <c:numRef>
              <c:f>Calculations!$L$30:$T$30</c:f>
              <c:numCache>
                <c:formatCode>0.00</c:formatCode>
                <c:ptCount val="9"/>
                <c:pt idx="0" formatCode="#,##0.00">
                  <c:v>-11.283510543309047</c:v>
                </c:pt>
                <c:pt idx="1">
                  <c:v>-4.92820222503323</c:v>
                </c:pt>
                <c:pt idx="2" formatCode="#,##0.00">
                  <c:v>7.2595708665547063</c:v>
                </c:pt>
                <c:pt idx="3" formatCode="#,##0.00">
                  <c:v>16.36915368707627</c:v>
                </c:pt>
                <c:pt idx="4" formatCode="#,##0.00">
                  <c:v>20.967496865567149</c:v>
                </c:pt>
                <c:pt idx="5" formatCode="#,##0.00">
                  <c:v>23.085244843666107</c:v>
                </c:pt>
                <c:pt idx="6" formatCode="#,##0.00">
                  <c:v>23.780997257774047</c:v>
                </c:pt>
                <c:pt idx="8" formatCode="#,##0.00">
                  <c:v>10.226663815839107</c:v>
                </c:pt>
              </c:numCache>
            </c:numRef>
          </c:yVal>
          <c:smooth val="1"/>
          <c:extLst>
            <c:ext xmlns:c16="http://schemas.microsoft.com/office/drawing/2014/chart" uri="{C3380CC4-5D6E-409C-BE32-E72D297353CC}">
              <c16:uniqueId val="{00000005-A4BD-6C4C-88C9-B139B3177669}"/>
            </c:ext>
          </c:extLst>
        </c:ser>
        <c:ser>
          <c:idx val="9"/>
          <c:order val="2"/>
          <c:spPr>
            <a:ln w="25400">
              <a:solidFill>
                <a:srgbClr val="DD2D32"/>
              </a:solidFill>
              <a:prstDash val="solid"/>
            </a:ln>
          </c:spPr>
          <c:marker>
            <c:symbol val="none"/>
          </c:marker>
          <c:dLbls>
            <c:dLbl>
              <c:idx val="8"/>
              <c:tx>
                <c:rich>
                  <a:bodyPr/>
                  <a:lstStyle/>
                  <a:p>
                    <a:pPr>
                      <a:defRPr sz="1075" b="1" i="0" u="none" strike="noStrike" baseline="0">
                        <a:solidFill>
                          <a:srgbClr val="DD0806"/>
                        </a:solidFill>
                        <a:latin typeface="Verdana"/>
                        <a:ea typeface="Verdana"/>
                        <a:cs typeface="Verdana"/>
                      </a:defRPr>
                    </a:pPr>
                    <a:r>
                      <a:rPr lang="en-US"/>
                      <a:t>3</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A4BD-6C4C-88C9-B139B31776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Calculations!$L$32:$T$32</c:f>
              <c:numCache>
                <c:formatCode>0.00</c:formatCode>
                <c:ptCount val="9"/>
                <c:pt idx="0" formatCode="#,##0.00">
                  <c:v>-97.508364765922877</c:v>
                </c:pt>
                <c:pt idx="1">
                  <c:v>-90.876805219104043</c:v>
                </c:pt>
                <c:pt idx="2" formatCode="#,##0.00">
                  <c:v>-74.088014778283224</c:v>
                </c:pt>
                <c:pt idx="3" formatCode="#,##0.00">
                  <c:v>-54.772255750516614</c:v>
                </c:pt>
                <c:pt idx="4" formatCode="#,##0.00">
                  <c:v>-39.48910737738003</c:v>
                </c:pt>
                <c:pt idx="5" formatCode="#,##0.00">
                  <c:v>-30.291293848068083</c:v>
                </c:pt>
                <c:pt idx="6" formatCode="#,##0.00">
                  <c:v>-27.186349660618902</c:v>
                </c:pt>
                <c:pt idx="8" formatCode="#,##0.00">
                  <c:v>-84.456207293525807</c:v>
                </c:pt>
              </c:numCache>
            </c:numRef>
          </c:xVal>
          <c:yVal>
            <c:numRef>
              <c:f>Calculations!$L$33:$T$33</c:f>
              <c:numCache>
                <c:formatCode>0.00</c:formatCode>
                <c:ptCount val="9"/>
                <c:pt idx="0" formatCode="#,##0.00">
                  <c:v>22.183750817288381</c:v>
                </c:pt>
                <c:pt idx="1">
                  <c:v>25.381529856711445</c:v>
                </c:pt>
                <c:pt idx="2" formatCode="#,##0.00">
                  <c:v>30.182214402076035</c:v>
                </c:pt>
                <c:pt idx="3" formatCode="#,##0.00">
                  <c:v>31.622776601683803</c:v>
                </c:pt>
                <c:pt idx="4" formatCode="#,##0.00">
                  <c:v>30.669372320570091</c:v>
                </c:pt>
                <c:pt idx="5" formatCode="#,##0.00">
                  <c:v>29.658417562504706</c:v>
                </c:pt>
                <c:pt idx="6" formatCode="#,##0.00">
                  <c:v>29.341138228189973</c:v>
                </c:pt>
                <c:pt idx="8" formatCode="#,##0.00">
                  <c:v>39.210849087682988</c:v>
                </c:pt>
              </c:numCache>
            </c:numRef>
          </c:yVal>
          <c:smooth val="1"/>
          <c:extLst>
            <c:ext xmlns:c16="http://schemas.microsoft.com/office/drawing/2014/chart" uri="{C3380CC4-5D6E-409C-BE32-E72D297353CC}">
              <c16:uniqueId val="{00000008-A4BD-6C4C-88C9-B139B3177669}"/>
            </c:ext>
          </c:extLst>
        </c:ser>
        <c:ser>
          <c:idx val="10"/>
          <c:order val="3"/>
          <c:spPr>
            <a:ln w="25400">
              <a:solidFill>
                <a:srgbClr val="DD2D32"/>
              </a:solidFill>
              <a:prstDash val="solid"/>
            </a:ln>
          </c:spPr>
          <c:marker>
            <c:symbol val="none"/>
          </c:marker>
          <c:dLbls>
            <c:dLbl>
              <c:idx val="8"/>
              <c:tx>
                <c:rich>
                  <a:bodyPr/>
                  <a:lstStyle/>
                  <a:p>
                    <a:pPr>
                      <a:defRPr sz="1075" b="1" i="0" u="none" strike="noStrike" baseline="0">
                        <a:solidFill>
                          <a:srgbClr val="DD0806"/>
                        </a:solidFill>
                        <a:latin typeface="Verdana"/>
                        <a:ea typeface="Verdana"/>
                        <a:cs typeface="Verdana"/>
                      </a:defRPr>
                    </a:pPr>
                    <a:r>
                      <a:rPr lang="en-US"/>
                      <a:t>4</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A4BD-6C4C-88C9-B139B31776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Calculations!$L$35:$T$35</c:f>
              <c:numCache>
                <c:formatCode>0.00</c:formatCode>
                <c:ptCount val="9"/>
                <c:pt idx="0" formatCode="#,##0.00">
                  <c:v>-84.70037762468904</c:v>
                </c:pt>
                <c:pt idx="1">
                  <c:v>-78.035609367947572</c:v>
                </c:pt>
                <c:pt idx="2" formatCode="#,##0.00">
                  <c:v>-62.062689154668448</c:v>
                </c:pt>
                <c:pt idx="3" formatCode="#,##0.00">
                  <c:v>-44.721359549995796</c:v>
                </c:pt>
                <c:pt idx="4" formatCode="#,##0.00">
                  <c:v>-31.549951805696914</c:v>
                </c:pt>
                <c:pt idx="5" formatCode="#,##0.00">
                  <c:v>-23.830738319810393</c:v>
                </c:pt>
                <c:pt idx="6" formatCode="#,##0.00">
                  <c:v>-21.263474902020587</c:v>
                </c:pt>
                <c:pt idx="8" formatCode="#,##0.00">
                  <c:v>-67.539612770961185</c:v>
                </c:pt>
              </c:numCache>
            </c:numRef>
          </c:xVal>
          <c:yVal>
            <c:numRef>
              <c:f>Calculations!$L$36:$T$36</c:f>
              <c:numCache>
                <c:formatCode>0.00</c:formatCode>
                <c:ptCount val="9"/>
                <c:pt idx="0" formatCode="#,##0.00">
                  <c:v>53.158687247550539</c:v>
                </c:pt>
                <c:pt idx="1">
                  <c:v>53.040168318654523</c:v>
                </c:pt>
                <c:pt idx="2" formatCode="#,##0.00">
                  <c:v>50.479922889115024</c:v>
                </c:pt>
                <c:pt idx="3" formatCode="#,##0.00">
                  <c:v>44.721359549995803</c:v>
                </c:pt>
                <c:pt idx="4" formatCode="#,##0.00">
                  <c:v>38.789180721667776</c:v>
                </c:pt>
                <c:pt idx="5" formatCode="#,##0.00">
                  <c:v>35.061091346885021</c:v>
                </c:pt>
                <c:pt idx="6" formatCode="#,##0.00">
                  <c:v>33.880151054656253</c:v>
                </c:pt>
                <c:pt idx="8" formatCode="#,##0.00">
                  <c:v>64.09947225471258</c:v>
                </c:pt>
              </c:numCache>
            </c:numRef>
          </c:yVal>
          <c:smooth val="1"/>
          <c:extLst>
            <c:ext xmlns:c16="http://schemas.microsoft.com/office/drawing/2014/chart" uri="{C3380CC4-5D6E-409C-BE32-E72D297353CC}">
              <c16:uniqueId val="{0000000C-A4BD-6C4C-88C9-B139B3177669}"/>
            </c:ext>
          </c:extLst>
        </c:ser>
        <c:ser>
          <c:idx val="11"/>
          <c:order val="4"/>
          <c:spPr>
            <a:ln w="25400">
              <a:solidFill>
                <a:srgbClr val="DD2D32"/>
              </a:solidFill>
              <a:prstDash val="solid"/>
            </a:ln>
          </c:spPr>
          <c:marker>
            <c:symbol val="none"/>
          </c:marker>
          <c:dLbls>
            <c:dLbl>
              <c:idx val="8"/>
              <c:tx>
                <c:rich>
                  <a:bodyPr/>
                  <a:lstStyle/>
                  <a:p>
                    <a:pPr>
                      <a:defRPr sz="1075" b="1" i="0" u="none" strike="noStrike" baseline="0">
                        <a:solidFill>
                          <a:srgbClr val="DD0806"/>
                        </a:solidFill>
                        <a:latin typeface="Verdana"/>
                        <a:ea typeface="Verdana"/>
                        <a:cs typeface="Verdana"/>
                      </a:defRPr>
                    </a:pPr>
                    <a:r>
                      <a:rPr lang="en-US"/>
                      <a:t>5</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A4BD-6C4C-88C9-B139B31776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Calculations!$L$38:$T$38</c:f>
              <c:numCache>
                <c:formatCode>0.00</c:formatCode>
                <c:ptCount val="9"/>
                <c:pt idx="0" formatCode="#,##0.00">
                  <c:v>-62.376377411477023</c:v>
                </c:pt>
                <c:pt idx="1">
                  <c:v>-57.043616173974797</c:v>
                </c:pt>
                <c:pt idx="2" formatCode="#,##0.00">
                  <c:v>-44.639796414376249</c:v>
                </c:pt>
                <c:pt idx="3" formatCode="#,##0.00">
                  <c:v>-31.622776601683793</c:v>
                </c:pt>
                <c:pt idx="4" formatCode="#,##0.00">
                  <c:v>-21.983304846763783</c:v>
                </c:pt>
                <c:pt idx="5" formatCode="#,##0.00">
                  <c:v>-16.429679012080772</c:v>
                </c:pt>
                <c:pt idx="6" formatCode="#,##0.00">
                  <c:v>-14.600590247018202</c:v>
                </c:pt>
                <c:pt idx="8" formatCode="#,##0.00">
                  <c:v>-43.568524783589893</c:v>
                </c:pt>
              </c:numCache>
            </c:numRef>
          </c:xVal>
          <c:yVal>
            <c:numRef>
              <c:f>Calculations!$L$39:$T$39</c:f>
              <c:numCache>
                <c:formatCode>0.00</c:formatCode>
                <c:ptCount val="9"/>
                <c:pt idx="0" formatCode="#,##0.00">
                  <c:v>78.161291830859568</c:v>
                </c:pt>
                <c:pt idx="1">
                  <c:v>75.158776190770638</c:v>
                </c:pt>
                <c:pt idx="2" formatCode="#,##0.00">
                  <c:v>66.387412783471547</c:v>
                </c:pt>
                <c:pt idx="3" formatCode="#,##0.00">
                  <c:v>54.772255750516621</c:v>
                </c:pt>
                <c:pt idx="4" formatCode="#,##0.00">
                  <c:v>44.90806506646944</c:v>
                </c:pt>
                <c:pt idx="5" formatCode="#,##0.00">
                  <c:v>39.080044304758509</c:v>
                </c:pt>
                <c:pt idx="6" formatCode="#,##0.00">
                  <c:v>37.240069345180622</c:v>
                </c:pt>
                <c:pt idx="8" formatCode="#,##0.00">
                  <c:v>82.292923661550418</c:v>
                </c:pt>
              </c:numCache>
            </c:numRef>
          </c:yVal>
          <c:smooth val="1"/>
          <c:extLst>
            <c:ext xmlns:c16="http://schemas.microsoft.com/office/drawing/2014/chart" uri="{C3380CC4-5D6E-409C-BE32-E72D297353CC}">
              <c16:uniqueId val="{00000010-A4BD-6C4C-88C9-B139B3177669}"/>
            </c:ext>
          </c:extLst>
        </c:ser>
        <c:ser>
          <c:idx val="12"/>
          <c:order val="5"/>
          <c:spPr>
            <a:ln w="25400">
              <a:solidFill>
                <a:srgbClr val="DD2D32"/>
              </a:solidFill>
              <a:prstDash val="solid"/>
            </a:ln>
          </c:spPr>
          <c:marker>
            <c:symbol val="none"/>
          </c:marker>
          <c:dLbls>
            <c:dLbl>
              <c:idx val="8"/>
              <c:tx>
                <c:rich>
                  <a:bodyPr/>
                  <a:lstStyle/>
                  <a:p>
                    <a:pPr>
                      <a:defRPr sz="1075" b="1" i="0" u="none" strike="noStrike" baseline="0">
                        <a:solidFill>
                          <a:srgbClr val="DD0806"/>
                        </a:solidFill>
                        <a:latin typeface="Verdana"/>
                        <a:ea typeface="Verdana"/>
                        <a:cs typeface="Verdana"/>
                      </a:defRPr>
                    </a:pPr>
                    <a:r>
                      <a:rPr lang="en-US"/>
                      <a:t>6</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A4BD-6C4C-88C9-B139B31776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Calculations!$L$41:$T$41</c:f>
              <c:numCache>
                <c:formatCode>0.00</c:formatCode>
                <c:ptCount val="9"/>
                <c:pt idx="0" formatCode="#,##0.00">
                  <c:v>-33.044445953136318</c:v>
                </c:pt>
                <c:pt idx="1">
                  <c:v>-30.093433393204993</c:v>
                </c:pt>
                <c:pt idx="2" formatCode="#,##0.00">
                  <c:v>-23.334598532246879</c:v>
                </c:pt>
                <c:pt idx="3" formatCode="#,##0.00">
                  <c:v>-16.36915368707627</c:v>
                </c:pt>
                <c:pt idx="4" formatCode="#,##0.00">
                  <c:v>-11.282658079471531</c:v>
                </c:pt>
                <c:pt idx="5" formatCode="#,##0.00">
                  <c:v>-8.3802060883312333</c:v>
                </c:pt>
                <c:pt idx="6" formatCode="#,##0.00">
                  <c:v>-7.4295769194484045</c:v>
                </c:pt>
                <c:pt idx="8" formatCode="#,##0.00">
                  <c:v>-15.046716696602497</c:v>
                </c:pt>
              </c:numCache>
            </c:numRef>
          </c:xVal>
          <c:yVal>
            <c:numRef>
              <c:f>Calculations!$L$42:$T$42</c:f>
              <c:numCache>
                <c:formatCode>0.00</c:formatCode>
                <c:ptCount val="9"/>
                <c:pt idx="0" formatCode="#,##0.00">
                  <c:v>94.382543890796185</c:v>
                </c:pt>
                <c:pt idx="1">
                  <c:v>89.427071132330198</c:v>
                </c:pt>
                <c:pt idx="2" formatCode="#,##0.00">
                  <c:v>76.521216086382623</c:v>
                </c:pt>
                <c:pt idx="3" formatCode="#,##0.00">
                  <c:v>61.090513237072074</c:v>
                </c:pt>
                <c:pt idx="4" formatCode="#,##0.00">
                  <c:v>48.710385203380767</c:v>
                </c:pt>
                <c:pt idx="5" formatCode="#,##0.00">
                  <c:v>41.556664462141221</c:v>
                </c:pt>
                <c:pt idx="6" formatCode="#,##0.00">
                  <c:v>39.303961469464937</c:v>
                </c:pt>
                <c:pt idx="8" formatCode="#,##0.00">
                  <c:v>91.890902450875046</c:v>
                </c:pt>
              </c:numCache>
            </c:numRef>
          </c:yVal>
          <c:smooth val="1"/>
          <c:extLst>
            <c:ext xmlns:c16="http://schemas.microsoft.com/office/drawing/2014/chart" uri="{C3380CC4-5D6E-409C-BE32-E72D297353CC}">
              <c16:uniqueId val="{00000012-A4BD-6C4C-88C9-B139B3177669}"/>
            </c:ext>
          </c:extLst>
        </c:ser>
        <c:ser>
          <c:idx val="13"/>
          <c:order val="6"/>
          <c:spPr>
            <a:ln w="25400">
              <a:solidFill>
                <a:srgbClr val="DD2D32"/>
              </a:solidFill>
              <a:prstDash val="solid"/>
            </a:ln>
          </c:spPr>
          <c:marker>
            <c:symbol val="none"/>
          </c:marker>
          <c:dLbls>
            <c:dLbl>
              <c:idx val="8"/>
              <c:tx>
                <c:rich>
                  <a:bodyPr/>
                  <a:lstStyle/>
                  <a:p>
                    <a:pPr>
                      <a:defRPr sz="1075" b="1" i="0" u="none" strike="noStrike" baseline="0">
                        <a:solidFill>
                          <a:srgbClr val="DD0806"/>
                        </a:solidFill>
                        <a:latin typeface="Verdana"/>
                        <a:ea typeface="Verdana"/>
                        <a:cs typeface="Verdana"/>
                      </a:defRPr>
                    </a:pPr>
                    <a:r>
                      <a:rPr lang="en-US"/>
                      <a:t>7</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A4BD-6C4C-88C9-B139B31776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Calculations!$L$44:$T$44</c:f>
              <c:numCache>
                <c:formatCode>0.00</c:formatCode>
                <c:ptCount val="9"/>
                <c:pt idx="0" formatCode="#,##0.00">
                  <c:v>0</c:v>
                </c:pt>
                <c:pt idx="1">
                  <c:v>0</c:v>
                </c:pt>
                <c:pt idx="2" formatCode="#,##0.00">
                  <c:v>0</c:v>
                </c:pt>
                <c:pt idx="3" formatCode="#,##0.00">
                  <c:v>0</c:v>
                </c:pt>
                <c:pt idx="4" formatCode="#,##0.00">
                  <c:v>0</c:v>
                </c:pt>
                <c:pt idx="5" formatCode="#,##0.00">
                  <c:v>0</c:v>
                </c:pt>
                <c:pt idx="6" formatCode="#,##0.00">
                  <c:v>0</c:v>
                </c:pt>
                <c:pt idx="8" formatCode="#,##0.00">
                  <c:v>15.046716696602497</c:v>
                </c:pt>
              </c:numCache>
            </c:numRef>
          </c:xVal>
          <c:yVal>
            <c:numRef>
              <c:f>Calculations!$L$45:$T$45</c:f>
              <c:numCache>
                <c:formatCode>0.00</c:formatCode>
                <c:ptCount val="9"/>
                <c:pt idx="0" formatCode="#,##0.00">
                  <c:v>99.999999998239076</c:v>
                </c:pt>
                <c:pt idx="1">
                  <c:v>94.354733769419909</c:v>
                </c:pt>
                <c:pt idx="2" formatCode="#,##0.00">
                  <c:v>80</c:v>
                </c:pt>
                <c:pt idx="3" formatCode="#,##0.00">
                  <c:v>63.245553203367592</c:v>
                </c:pt>
                <c:pt idx="4" formatCode="#,##0.00">
                  <c:v>50.000000000000007</c:v>
                </c:pt>
                <c:pt idx="5" formatCode="#,##0.00">
                  <c:v>42.393209542353539</c:v>
                </c:pt>
                <c:pt idx="6" formatCode="#,##0.00">
                  <c:v>40.000000004939807</c:v>
                </c:pt>
                <c:pt idx="8" formatCode="#,##0.00">
                  <c:v>91.890902450875046</c:v>
                </c:pt>
              </c:numCache>
            </c:numRef>
          </c:yVal>
          <c:smooth val="1"/>
          <c:extLst>
            <c:ext xmlns:c16="http://schemas.microsoft.com/office/drawing/2014/chart" uri="{C3380CC4-5D6E-409C-BE32-E72D297353CC}">
              <c16:uniqueId val="{00000014-A4BD-6C4C-88C9-B139B3177669}"/>
            </c:ext>
          </c:extLst>
        </c:ser>
        <c:ser>
          <c:idx val="14"/>
          <c:order val="7"/>
          <c:spPr>
            <a:ln w="25400">
              <a:solidFill>
                <a:srgbClr val="DD2D32"/>
              </a:solidFill>
              <a:prstDash val="solid"/>
            </a:ln>
          </c:spPr>
          <c:marker>
            <c:symbol val="none"/>
          </c:marker>
          <c:dLbls>
            <c:dLbl>
              <c:idx val="8"/>
              <c:tx>
                <c:rich>
                  <a:bodyPr/>
                  <a:lstStyle/>
                  <a:p>
                    <a:pPr>
                      <a:defRPr sz="1075" b="1" i="0" u="none" strike="noStrike" baseline="0">
                        <a:solidFill>
                          <a:srgbClr val="DD0806"/>
                        </a:solidFill>
                        <a:latin typeface="Verdana"/>
                        <a:ea typeface="Verdana"/>
                        <a:cs typeface="Verdana"/>
                      </a:defRPr>
                    </a:pPr>
                    <a:r>
                      <a:rPr lang="en-US"/>
                      <a:t>8</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A4BD-6C4C-88C9-B139B31776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Calculations!$L$47:$T$47</c:f>
              <c:numCache>
                <c:formatCode>0.00</c:formatCode>
                <c:ptCount val="9"/>
                <c:pt idx="0" formatCode="#,##0.00">
                  <c:v>33.044445953136318</c:v>
                </c:pt>
                <c:pt idx="1">
                  <c:v>30.093433393204993</c:v>
                </c:pt>
                <c:pt idx="2" formatCode="#,##0.00">
                  <c:v>23.334598532246879</c:v>
                </c:pt>
                <c:pt idx="3" formatCode="#,##0.00">
                  <c:v>16.36915368707627</c:v>
                </c:pt>
                <c:pt idx="4" formatCode="#,##0.00">
                  <c:v>11.282658079471531</c:v>
                </c:pt>
                <c:pt idx="5" formatCode="#,##0.00">
                  <c:v>8.3802060883312333</c:v>
                </c:pt>
                <c:pt idx="6" formatCode="#,##0.00">
                  <c:v>7.4295769194484045</c:v>
                </c:pt>
                <c:pt idx="8" formatCode="#,##0.00">
                  <c:v>43.568524783589893</c:v>
                </c:pt>
              </c:numCache>
            </c:numRef>
          </c:xVal>
          <c:yVal>
            <c:numRef>
              <c:f>Calculations!$L$48:$T$48</c:f>
              <c:numCache>
                <c:formatCode>0.00</c:formatCode>
                <c:ptCount val="9"/>
                <c:pt idx="0" formatCode="#,##0.00">
                  <c:v>94.382543890796185</c:v>
                </c:pt>
                <c:pt idx="1">
                  <c:v>89.427071132330198</c:v>
                </c:pt>
                <c:pt idx="2" formatCode="#,##0.00">
                  <c:v>76.521216086382623</c:v>
                </c:pt>
                <c:pt idx="3" formatCode="#,##0.00">
                  <c:v>61.090513237072074</c:v>
                </c:pt>
                <c:pt idx="4" formatCode="#,##0.00">
                  <c:v>48.710385203380767</c:v>
                </c:pt>
                <c:pt idx="5" formatCode="#,##0.00">
                  <c:v>41.556664462141221</c:v>
                </c:pt>
                <c:pt idx="6" formatCode="#,##0.00">
                  <c:v>39.303961469464937</c:v>
                </c:pt>
                <c:pt idx="8" formatCode="#,##0.00">
                  <c:v>82.292923661550418</c:v>
                </c:pt>
              </c:numCache>
            </c:numRef>
          </c:yVal>
          <c:smooth val="1"/>
          <c:extLst>
            <c:ext xmlns:c16="http://schemas.microsoft.com/office/drawing/2014/chart" uri="{C3380CC4-5D6E-409C-BE32-E72D297353CC}">
              <c16:uniqueId val="{00000016-A4BD-6C4C-88C9-B139B3177669}"/>
            </c:ext>
          </c:extLst>
        </c:ser>
        <c:ser>
          <c:idx val="15"/>
          <c:order val="8"/>
          <c:spPr>
            <a:ln w="25400">
              <a:solidFill>
                <a:srgbClr val="DD2D32"/>
              </a:solidFill>
              <a:prstDash val="solid"/>
            </a:ln>
          </c:spPr>
          <c:marker>
            <c:symbol val="none"/>
          </c:marker>
          <c:dLbls>
            <c:dLbl>
              <c:idx val="8"/>
              <c:tx>
                <c:rich>
                  <a:bodyPr/>
                  <a:lstStyle/>
                  <a:p>
                    <a:pPr>
                      <a:defRPr sz="1075" b="1" i="0" u="none" strike="noStrike" baseline="0">
                        <a:solidFill>
                          <a:srgbClr val="DD0806"/>
                        </a:solidFill>
                        <a:latin typeface="Verdana"/>
                        <a:ea typeface="Verdana"/>
                        <a:cs typeface="Verdana"/>
                      </a:defRPr>
                    </a:pPr>
                    <a:r>
                      <a:rPr lang="en-US"/>
                      <a:t>9</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A4BD-6C4C-88C9-B139B31776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Calculations!$L$50:$T$50</c:f>
              <c:numCache>
                <c:formatCode>0.00</c:formatCode>
                <c:ptCount val="9"/>
                <c:pt idx="0" formatCode="#,##0.00">
                  <c:v>62.376377411477023</c:v>
                </c:pt>
                <c:pt idx="1">
                  <c:v>57.043616173974797</c:v>
                </c:pt>
                <c:pt idx="2" formatCode="#,##0.00">
                  <c:v>44.639796414376249</c:v>
                </c:pt>
                <c:pt idx="3" formatCode="#,##0.00">
                  <c:v>31.622776601683793</c:v>
                </c:pt>
                <c:pt idx="4" formatCode="#,##0.00">
                  <c:v>21.983304846763783</c:v>
                </c:pt>
                <c:pt idx="5" formatCode="#,##0.00">
                  <c:v>16.429679012080772</c:v>
                </c:pt>
                <c:pt idx="6" formatCode="#,##0.00">
                  <c:v>14.600590247018202</c:v>
                </c:pt>
                <c:pt idx="8" formatCode="#,##0.00">
                  <c:v>67.539612770961185</c:v>
                </c:pt>
              </c:numCache>
            </c:numRef>
          </c:xVal>
          <c:yVal>
            <c:numRef>
              <c:f>Calculations!$L$51:$T$51</c:f>
              <c:numCache>
                <c:formatCode>0.00</c:formatCode>
                <c:ptCount val="9"/>
                <c:pt idx="0" formatCode="#,##0.00">
                  <c:v>78.161291830859568</c:v>
                </c:pt>
                <c:pt idx="1">
                  <c:v>75.158776190770638</c:v>
                </c:pt>
                <c:pt idx="2" formatCode="#,##0.00">
                  <c:v>66.387412783471547</c:v>
                </c:pt>
                <c:pt idx="3" formatCode="#,##0.00">
                  <c:v>54.772255750516621</c:v>
                </c:pt>
                <c:pt idx="4" formatCode="#,##0.00">
                  <c:v>44.90806506646944</c:v>
                </c:pt>
                <c:pt idx="5" formatCode="#,##0.00">
                  <c:v>39.080044304758509</c:v>
                </c:pt>
                <c:pt idx="6" formatCode="#,##0.00">
                  <c:v>37.240069345180622</c:v>
                </c:pt>
                <c:pt idx="8" formatCode="#,##0.00">
                  <c:v>64.09947225471258</c:v>
                </c:pt>
              </c:numCache>
            </c:numRef>
          </c:yVal>
          <c:smooth val="1"/>
          <c:extLst>
            <c:ext xmlns:c16="http://schemas.microsoft.com/office/drawing/2014/chart" uri="{C3380CC4-5D6E-409C-BE32-E72D297353CC}">
              <c16:uniqueId val="{00000018-A4BD-6C4C-88C9-B139B3177669}"/>
            </c:ext>
          </c:extLst>
        </c:ser>
        <c:ser>
          <c:idx val="16"/>
          <c:order val="9"/>
          <c:spPr>
            <a:ln w="25400">
              <a:solidFill>
                <a:srgbClr val="DD2D32"/>
              </a:solidFill>
              <a:prstDash val="solid"/>
            </a:ln>
          </c:spPr>
          <c:marker>
            <c:symbol val="none"/>
          </c:marker>
          <c:dLbls>
            <c:dLbl>
              <c:idx val="8"/>
              <c:tx>
                <c:rich>
                  <a:bodyPr/>
                  <a:lstStyle/>
                  <a:p>
                    <a:pPr>
                      <a:defRPr sz="1075" b="1" i="0" u="none" strike="noStrike" baseline="0">
                        <a:solidFill>
                          <a:srgbClr val="DD0806"/>
                        </a:solidFill>
                        <a:latin typeface="Verdana"/>
                        <a:ea typeface="Verdana"/>
                        <a:cs typeface="Verdana"/>
                      </a:defRPr>
                    </a:pPr>
                    <a:r>
                      <a:rPr lang="en-US"/>
                      <a:t>10</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A4BD-6C4C-88C9-B139B31776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Calculations!$L$53:$T$53</c:f>
              <c:numCache>
                <c:formatCode>0.00</c:formatCode>
                <c:ptCount val="9"/>
                <c:pt idx="0" formatCode="#,##0.00">
                  <c:v>84.70037762468904</c:v>
                </c:pt>
                <c:pt idx="1">
                  <c:v>78.035609367947572</c:v>
                </c:pt>
                <c:pt idx="2" formatCode="#,##0.00">
                  <c:v>62.062689154668448</c:v>
                </c:pt>
                <c:pt idx="3" formatCode="#,##0.00">
                  <c:v>44.721359549995796</c:v>
                </c:pt>
                <c:pt idx="4" formatCode="#,##0.00">
                  <c:v>31.549951805696914</c:v>
                </c:pt>
                <c:pt idx="5" formatCode="#,##0.00">
                  <c:v>23.830738319810393</c:v>
                </c:pt>
                <c:pt idx="6" formatCode="#,##0.00">
                  <c:v>21.263474902020587</c:v>
                </c:pt>
                <c:pt idx="8" formatCode="#,##0.00">
                  <c:v>84.456207293525807</c:v>
                </c:pt>
              </c:numCache>
            </c:numRef>
          </c:xVal>
          <c:yVal>
            <c:numRef>
              <c:f>Calculations!$L$54:$T$54</c:f>
              <c:numCache>
                <c:formatCode>0.00</c:formatCode>
                <c:ptCount val="9"/>
                <c:pt idx="0" formatCode="#,##0.00">
                  <c:v>53.158687247550539</c:v>
                </c:pt>
                <c:pt idx="1">
                  <c:v>53.040168318654523</c:v>
                </c:pt>
                <c:pt idx="2" formatCode="#,##0.00">
                  <c:v>50.479922889115024</c:v>
                </c:pt>
                <c:pt idx="3" formatCode="#,##0.00">
                  <c:v>44.721359549995803</c:v>
                </c:pt>
                <c:pt idx="4" formatCode="#,##0.00">
                  <c:v>38.789180721667776</c:v>
                </c:pt>
                <c:pt idx="5" formatCode="#,##0.00">
                  <c:v>35.061091346885021</c:v>
                </c:pt>
                <c:pt idx="6" formatCode="#,##0.00">
                  <c:v>33.880151054656253</c:v>
                </c:pt>
                <c:pt idx="8" formatCode="#,##0.00">
                  <c:v>39.210849087682988</c:v>
                </c:pt>
              </c:numCache>
            </c:numRef>
          </c:yVal>
          <c:smooth val="1"/>
          <c:extLst>
            <c:ext xmlns:c16="http://schemas.microsoft.com/office/drawing/2014/chart" uri="{C3380CC4-5D6E-409C-BE32-E72D297353CC}">
              <c16:uniqueId val="{0000001A-A4BD-6C4C-88C9-B139B3177669}"/>
            </c:ext>
          </c:extLst>
        </c:ser>
        <c:ser>
          <c:idx val="17"/>
          <c:order val="10"/>
          <c:spPr>
            <a:ln w="25400">
              <a:solidFill>
                <a:srgbClr val="DD2D32"/>
              </a:solidFill>
              <a:prstDash val="solid"/>
            </a:ln>
          </c:spPr>
          <c:marker>
            <c:symbol val="none"/>
          </c:marker>
          <c:dLbls>
            <c:dLbl>
              <c:idx val="8"/>
              <c:tx>
                <c:rich>
                  <a:bodyPr/>
                  <a:lstStyle/>
                  <a:p>
                    <a:pPr>
                      <a:defRPr sz="1075" b="1" i="0" u="none" strike="noStrike" baseline="0">
                        <a:solidFill>
                          <a:srgbClr val="DD0806"/>
                        </a:solidFill>
                        <a:latin typeface="Verdana"/>
                        <a:ea typeface="Verdana"/>
                        <a:cs typeface="Verdana"/>
                      </a:defRPr>
                    </a:pPr>
                    <a:r>
                      <a:rPr lang="en-US"/>
                      <a:t>11</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A4BD-6C4C-88C9-B139B31776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Calculations!$L$56:$T$56</c:f>
              <c:numCache>
                <c:formatCode>0.00</c:formatCode>
                <c:ptCount val="9"/>
                <c:pt idx="0" formatCode="#,##0.00">
                  <c:v>97.508364765922877</c:v>
                </c:pt>
                <c:pt idx="1">
                  <c:v>90.876805219104043</c:v>
                </c:pt>
                <c:pt idx="2" formatCode="#,##0.00">
                  <c:v>74.088014778283224</c:v>
                </c:pt>
                <c:pt idx="3" formatCode="#,##0.00">
                  <c:v>54.772255750516614</c:v>
                </c:pt>
                <c:pt idx="4" formatCode="#,##0.00">
                  <c:v>39.48910737738003</c:v>
                </c:pt>
                <c:pt idx="5" formatCode="#,##0.00">
                  <c:v>30.291293848068083</c:v>
                </c:pt>
                <c:pt idx="6" formatCode="#,##0.00">
                  <c:v>27.186349660618902</c:v>
                </c:pt>
                <c:pt idx="8" formatCode="#,##0.00">
                  <c:v>92.551374834639049</c:v>
                </c:pt>
              </c:numCache>
            </c:numRef>
          </c:xVal>
          <c:yVal>
            <c:numRef>
              <c:f>Calculations!$L$57:$T$57</c:f>
              <c:numCache>
                <c:formatCode>0.00</c:formatCode>
                <c:ptCount val="9"/>
                <c:pt idx="0" formatCode="#,##0.00">
                  <c:v>22.183750817288381</c:v>
                </c:pt>
                <c:pt idx="1">
                  <c:v>25.381529856711445</c:v>
                </c:pt>
                <c:pt idx="2" formatCode="#,##0.00">
                  <c:v>30.182214402076035</c:v>
                </c:pt>
                <c:pt idx="3" formatCode="#,##0.00">
                  <c:v>31.622776601683803</c:v>
                </c:pt>
                <c:pt idx="4" formatCode="#,##0.00">
                  <c:v>30.669372320570091</c:v>
                </c:pt>
                <c:pt idx="5" formatCode="#,##0.00">
                  <c:v>29.658417562504706</c:v>
                </c:pt>
                <c:pt idx="6" formatCode="#,##0.00">
                  <c:v>29.341138228189973</c:v>
                </c:pt>
                <c:pt idx="8" formatCode="#,##0.00">
                  <c:v>10.226663815839107</c:v>
                </c:pt>
              </c:numCache>
            </c:numRef>
          </c:yVal>
          <c:smooth val="1"/>
          <c:extLst>
            <c:ext xmlns:c16="http://schemas.microsoft.com/office/drawing/2014/chart" uri="{C3380CC4-5D6E-409C-BE32-E72D297353CC}">
              <c16:uniqueId val="{0000001C-A4BD-6C4C-88C9-B139B3177669}"/>
            </c:ext>
          </c:extLst>
        </c:ser>
        <c:ser>
          <c:idx val="18"/>
          <c:order val="11"/>
          <c:spPr>
            <a:ln w="25400">
              <a:solidFill>
                <a:srgbClr val="DD2D32"/>
              </a:solidFill>
              <a:prstDash val="solid"/>
            </a:ln>
          </c:spPr>
          <c:marker>
            <c:symbol val="none"/>
          </c:marker>
          <c:dLbls>
            <c:dLbl>
              <c:idx val="8"/>
              <c:tx>
                <c:rich>
                  <a:bodyPr/>
                  <a:lstStyle/>
                  <a:p>
                    <a:pPr>
                      <a:defRPr sz="1075" b="1" i="0" u="none" strike="noStrike" baseline="0">
                        <a:solidFill>
                          <a:srgbClr val="DD0806"/>
                        </a:solidFill>
                        <a:latin typeface="Verdana"/>
                        <a:ea typeface="Verdana"/>
                        <a:cs typeface="Verdana"/>
                      </a:defRPr>
                    </a:pPr>
                    <a:r>
                      <a:rPr lang="en-US"/>
                      <a:t>12</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A4BD-6C4C-88C9-B139B31776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Calculations!$L$59:$T$59</c:f>
              <c:numCache>
                <c:formatCode>0.00</c:formatCode>
                <c:ptCount val="9"/>
                <c:pt idx="0" formatCode="#,##0.00">
                  <c:v>99.361372723341788</c:v>
                </c:pt>
                <c:pt idx="1">
                  <c:v>94.225944450174055</c:v>
                </c:pt>
                <c:pt idx="2" formatCode="#,##0.00">
                  <c:v>79.669935551834541</c:v>
                </c:pt>
                <c:pt idx="3" formatCode="#,##0.00">
                  <c:v>61.090513237072074</c:v>
                </c:pt>
                <c:pt idx="4" formatCode="#,##0.00">
                  <c:v>45.391233461896938</c:v>
                </c:pt>
                <c:pt idx="5" formatCode="#,##0.00">
                  <c:v>35.556373350074423</c:v>
                </c:pt>
                <c:pt idx="6" formatCode="#,##0.00">
                  <c:v>32.163087069199811</c:v>
                </c:pt>
                <c:pt idx="8" formatCode="#,##0.00">
                  <c:v>90.979577432616722</c:v>
                </c:pt>
              </c:numCache>
            </c:numRef>
          </c:xVal>
          <c:yVal>
            <c:numRef>
              <c:f>Calculations!$L$60:$T$60</c:f>
              <c:numCache>
                <c:formatCode>0.00</c:formatCode>
                <c:ptCount val="9"/>
                <c:pt idx="0" formatCode="#,##0.00">
                  <c:v>-11.283510543309047</c:v>
                </c:pt>
                <c:pt idx="1">
                  <c:v>-4.92820222503323</c:v>
                </c:pt>
                <c:pt idx="2" formatCode="#,##0.00">
                  <c:v>7.2595708665547063</c:v>
                </c:pt>
                <c:pt idx="3" formatCode="#,##0.00">
                  <c:v>16.36915368707627</c:v>
                </c:pt>
                <c:pt idx="4" formatCode="#,##0.00">
                  <c:v>20.967496865567149</c:v>
                </c:pt>
                <c:pt idx="5" formatCode="#,##0.00">
                  <c:v>23.085244843666107</c:v>
                </c:pt>
                <c:pt idx="6" formatCode="#,##0.00">
                  <c:v>23.780997257774047</c:v>
                </c:pt>
                <c:pt idx="8" formatCode="#,##0.00">
                  <c:v>-19.825693601146689</c:v>
                </c:pt>
              </c:numCache>
            </c:numRef>
          </c:yVal>
          <c:smooth val="1"/>
          <c:extLst>
            <c:ext xmlns:c16="http://schemas.microsoft.com/office/drawing/2014/chart" uri="{C3380CC4-5D6E-409C-BE32-E72D297353CC}">
              <c16:uniqueId val="{0000001E-A4BD-6C4C-88C9-B139B3177669}"/>
            </c:ext>
          </c:extLst>
        </c:ser>
        <c:ser>
          <c:idx val="19"/>
          <c:order val="12"/>
          <c:spPr>
            <a:ln w="25400">
              <a:solidFill>
                <a:srgbClr val="DD2D32"/>
              </a:solidFill>
              <a:prstDash val="solid"/>
            </a:ln>
          </c:spPr>
          <c:marker>
            <c:symbol val="none"/>
          </c:marker>
          <c:xVal>
            <c:numRef>
              <c:f>Calculations!$L$62:$R$62</c:f>
              <c:numCache>
                <c:formatCode>0.00</c:formatCode>
                <c:ptCount val="7"/>
                <c:pt idx="0" formatCode="#,##0.00">
                  <c:v>90.051217679591176</c:v>
                </c:pt>
                <c:pt idx="1">
                  <c:v>87.733210415059389</c:v>
                </c:pt>
                <c:pt idx="2" formatCode="#,##0.00">
                  <c:v>78.322994070469477</c:v>
                </c:pt>
                <c:pt idx="3" formatCode="#,##0.00">
                  <c:v>63.245553203367592</c:v>
                </c:pt>
                <c:pt idx="4" formatCode="#,##0.00">
                  <c:v>48.951871294043436</c:v>
                </c:pt>
                <c:pt idx="5" formatCode="#,##0.00">
                  <c:v>39.418185228926141</c:v>
                </c:pt>
                <c:pt idx="6" formatCode="#,##0.00">
                  <c:v>36.020487076919117</c:v>
                </c:pt>
              </c:numCache>
            </c:numRef>
          </c:xVal>
          <c:yVal>
            <c:numRef>
              <c:f>Calculations!$L$63:$R$63</c:f>
              <c:numCache>
                <c:formatCode>0.00</c:formatCode>
                <c:ptCount val="7"/>
                <c:pt idx="0" formatCode="#,##0.00">
                  <c:v>-43.483079399586003</c:v>
                </c:pt>
                <c:pt idx="1">
                  <c:v>-34.723184977260146</c:v>
                </c:pt>
                <c:pt idx="2" formatCode="#,##0.00">
                  <c:v>-16.294434627725018</c:v>
                </c:pt>
                <c:pt idx="3" formatCode="#,##0.00">
                  <c:v>3.8742595893473368E-15</c:v>
                </c:pt>
                <c:pt idx="4" formatCode="#,##0.00">
                  <c:v>10.184021642328101</c:v>
                </c:pt>
                <c:pt idx="5" formatCode="#,##0.00">
                  <c:v>15.600989986534964</c:v>
                </c:pt>
                <c:pt idx="6" formatCode="#,##0.00">
                  <c:v>17.393231762288668</c:v>
                </c:pt>
              </c:numCache>
            </c:numRef>
          </c:yVal>
          <c:smooth val="1"/>
          <c:extLst>
            <c:ext xmlns:c16="http://schemas.microsoft.com/office/drawing/2014/chart" uri="{C3380CC4-5D6E-409C-BE32-E72D297353CC}">
              <c16:uniqueId val="{0000001F-A4BD-6C4C-88C9-B139B3177669}"/>
            </c:ext>
          </c:extLst>
        </c:ser>
        <c:ser>
          <c:idx val="0"/>
          <c:order val="13"/>
          <c:spPr>
            <a:ln w="25400">
              <a:solidFill>
                <a:srgbClr val="0000D4"/>
              </a:solidFill>
              <a:prstDash val="solid"/>
            </a:ln>
          </c:spPr>
          <c:marker>
            <c:symbol val="none"/>
          </c:marker>
          <c:xVal>
            <c:numRef>
              <c:f>Calculations!$AA$10:$AA$82</c:f>
              <c:numCache>
                <c:formatCode>#,##0.00</c:formatCode>
                <c:ptCount val="73"/>
                <c:pt idx="0">
                  <c:v>100</c:v>
                </c:pt>
                <c:pt idx="1">
                  <c:v>99.619469809174561</c:v>
                </c:pt>
                <c:pt idx="2">
                  <c:v>98.480775301220802</c:v>
                </c:pt>
                <c:pt idx="3">
                  <c:v>96.592582628906825</c:v>
                </c:pt>
                <c:pt idx="4">
                  <c:v>93.969262078590845</c:v>
                </c:pt>
                <c:pt idx="5">
                  <c:v>90.630778703664987</c:v>
                </c:pt>
                <c:pt idx="6">
                  <c:v>86.602540378443877</c:v>
                </c:pt>
                <c:pt idx="7">
                  <c:v>81.915204428899173</c:v>
                </c:pt>
                <c:pt idx="8">
                  <c:v>76.604444311897808</c:v>
                </c:pt>
                <c:pt idx="9">
                  <c:v>70.710678118654755</c:v>
                </c:pt>
                <c:pt idx="10">
                  <c:v>64.278760968653941</c:v>
                </c:pt>
                <c:pt idx="11">
                  <c:v>57.357643635104615</c:v>
                </c:pt>
                <c:pt idx="12">
                  <c:v>50.000000000000014</c:v>
                </c:pt>
                <c:pt idx="13">
                  <c:v>42.261826174069945</c:v>
                </c:pt>
                <c:pt idx="14">
                  <c:v>34.202014332566883</c:v>
                </c:pt>
                <c:pt idx="15">
                  <c:v>25.881904510252074</c:v>
                </c:pt>
                <c:pt idx="16">
                  <c:v>17.36481776669304</c:v>
                </c:pt>
                <c:pt idx="17">
                  <c:v>8.7155742747658138</c:v>
                </c:pt>
                <c:pt idx="18">
                  <c:v>6.1257422745431001E-15</c:v>
                </c:pt>
                <c:pt idx="19">
                  <c:v>-8.7155742747658227</c:v>
                </c:pt>
                <c:pt idx="20">
                  <c:v>-17.364817766693029</c:v>
                </c:pt>
                <c:pt idx="21">
                  <c:v>-25.881904510252085</c:v>
                </c:pt>
                <c:pt idx="22">
                  <c:v>-34.202014332566868</c:v>
                </c:pt>
                <c:pt idx="23">
                  <c:v>-42.261826174069931</c:v>
                </c:pt>
                <c:pt idx="24">
                  <c:v>-49.999999999999979</c:v>
                </c:pt>
                <c:pt idx="25">
                  <c:v>-57.357643635104615</c:v>
                </c:pt>
                <c:pt idx="26">
                  <c:v>-64.278760968653941</c:v>
                </c:pt>
                <c:pt idx="27">
                  <c:v>-70.710678118654741</c:v>
                </c:pt>
                <c:pt idx="28">
                  <c:v>-76.604444311897794</c:v>
                </c:pt>
                <c:pt idx="29">
                  <c:v>-81.915204428899187</c:v>
                </c:pt>
                <c:pt idx="30">
                  <c:v>-86.602540378443877</c:v>
                </c:pt>
                <c:pt idx="31">
                  <c:v>-90.630778703664987</c:v>
                </c:pt>
                <c:pt idx="32">
                  <c:v>-93.96926207859083</c:v>
                </c:pt>
                <c:pt idx="33">
                  <c:v>-96.592582628906825</c:v>
                </c:pt>
                <c:pt idx="34">
                  <c:v>-98.480775301220802</c:v>
                </c:pt>
                <c:pt idx="35">
                  <c:v>-99.619469809174561</c:v>
                </c:pt>
                <c:pt idx="36">
                  <c:v>-100</c:v>
                </c:pt>
                <c:pt idx="37">
                  <c:v>-99.619469809174561</c:v>
                </c:pt>
                <c:pt idx="38">
                  <c:v>-98.480775301220802</c:v>
                </c:pt>
                <c:pt idx="39">
                  <c:v>-96.592582628906825</c:v>
                </c:pt>
                <c:pt idx="40">
                  <c:v>-93.969262078590845</c:v>
                </c:pt>
                <c:pt idx="41">
                  <c:v>-90.630778703665001</c:v>
                </c:pt>
                <c:pt idx="42">
                  <c:v>-86.602540378443862</c:v>
                </c:pt>
                <c:pt idx="43">
                  <c:v>-81.915204428899173</c:v>
                </c:pt>
                <c:pt idx="44">
                  <c:v>-76.604444311897808</c:v>
                </c:pt>
                <c:pt idx="45">
                  <c:v>-70.710678118654769</c:v>
                </c:pt>
                <c:pt idx="46">
                  <c:v>-64.278760968653941</c:v>
                </c:pt>
                <c:pt idx="47">
                  <c:v>-57.357643635104637</c:v>
                </c:pt>
                <c:pt idx="48">
                  <c:v>-50.000000000000043</c:v>
                </c:pt>
                <c:pt idx="49">
                  <c:v>-42.261826174069917</c:v>
                </c:pt>
                <c:pt idx="50">
                  <c:v>-34.202014332566854</c:v>
                </c:pt>
                <c:pt idx="51">
                  <c:v>-25.881904510252063</c:v>
                </c:pt>
                <c:pt idx="52">
                  <c:v>-17.364817766693033</c:v>
                </c:pt>
                <c:pt idx="53">
                  <c:v>-8.7155742747658245</c:v>
                </c:pt>
                <c:pt idx="54">
                  <c:v>-1.83772268236293E-14</c:v>
                </c:pt>
                <c:pt idx="55">
                  <c:v>8.7155742747657889</c:v>
                </c:pt>
                <c:pt idx="56">
                  <c:v>17.364817766692997</c:v>
                </c:pt>
                <c:pt idx="57">
                  <c:v>25.881904510252028</c:v>
                </c:pt>
                <c:pt idx="58">
                  <c:v>34.202014332566897</c:v>
                </c:pt>
                <c:pt idx="59">
                  <c:v>42.261826174069959</c:v>
                </c:pt>
                <c:pt idx="60">
                  <c:v>50.000000000000014</c:v>
                </c:pt>
                <c:pt idx="61">
                  <c:v>57.357643635104608</c:v>
                </c:pt>
                <c:pt idx="62">
                  <c:v>64.278760968653927</c:v>
                </c:pt>
                <c:pt idx="63">
                  <c:v>70.710678118654741</c:v>
                </c:pt>
                <c:pt idx="64">
                  <c:v>76.60444431189778</c:v>
                </c:pt>
                <c:pt idx="65">
                  <c:v>81.915204428899159</c:v>
                </c:pt>
                <c:pt idx="66">
                  <c:v>86.602540378443834</c:v>
                </c:pt>
                <c:pt idx="67">
                  <c:v>90.630778703665001</c:v>
                </c:pt>
                <c:pt idx="68">
                  <c:v>93.969262078590845</c:v>
                </c:pt>
                <c:pt idx="69">
                  <c:v>96.592582628906825</c:v>
                </c:pt>
                <c:pt idx="70">
                  <c:v>98.480775301220802</c:v>
                </c:pt>
                <c:pt idx="71">
                  <c:v>99.619469809174561</c:v>
                </c:pt>
                <c:pt idx="72">
                  <c:v>100</c:v>
                </c:pt>
              </c:numCache>
            </c:numRef>
          </c:xVal>
          <c:yVal>
            <c:numRef>
              <c:f>Calculations!$AB$10:$AB$82</c:f>
              <c:numCache>
                <c:formatCode>#,##0.00</c:formatCode>
                <c:ptCount val="73"/>
                <c:pt idx="0">
                  <c:v>0</c:v>
                </c:pt>
                <c:pt idx="1">
                  <c:v>8.7155742747658174</c:v>
                </c:pt>
                <c:pt idx="2">
                  <c:v>17.364817766693033</c:v>
                </c:pt>
                <c:pt idx="3">
                  <c:v>25.881904510252074</c:v>
                </c:pt>
                <c:pt idx="4">
                  <c:v>34.202014332566868</c:v>
                </c:pt>
                <c:pt idx="5">
                  <c:v>42.261826174069945</c:v>
                </c:pt>
                <c:pt idx="6">
                  <c:v>49.999999999999993</c:v>
                </c:pt>
                <c:pt idx="7">
                  <c:v>57.357643635104608</c:v>
                </c:pt>
                <c:pt idx="8">
                  <c:v>64.278760968653927</c:v>
                </c:pt>
                <c:pt idx="9">
                  <c:v>70.710678118654741</c:v>
                </c:pt>
                <c:pt idx="10">
                  <c:v>76.604444311897808</c:v>
                </c:pt>
                <c:pt idx="11">
                  <c:v>81.915204428899173</c:v>
                </c:pt>
                <c:pt idx="12">
                  <c:v>86.602540378443862</c:v>
                </c:pt>
                <c:pt idx="13">
                  <c:v>90.630778703664987</c:v>
                </c:pt>
                <c:pt idx="14">
                  <c:v>93.96926207859083</c:v>
                </c:pt>
                <c:pt idx="15">
                  <c:v>96.592582628906825</c:v>
                </c:pt>
                <c:pt idx="16">
                  <c:v>98.480775301220802</c:v>
                </c:pt>
                <c:pt idx="17">
                  <c:v>99.619469809174561</c:v>
                </c:pt>
                <c:pt idx="18">
                  <c:v>100</c:v>
                </c:pt>
                <c:pt idx="19">
                  <c:v>99.619469809174561</c:v>
                </c:pt>
                <c:pt idx="20">
                  <c:v>98.480775301220802</c:v>
                </c:pt>
                <c:pt idx="21">
                  <c:v>96.592582628906825</c:v>
                </c:pt>
                <c:pt idx="22">
                  <c:v>93.969262078590845</c:v>
                </c:pt>
                <c:pt idx="23">
                  <c:v>90.630778703665001</c:v>
                </c:pt>
                <c:pt idx="24">
                  <c:v>86.602540378443877</c:v>
                </c:pt>
                <c:pt idx="25">
                  <c:v>81.915204428899173</c:v>
                </c:pt>
                <c:pt idx="26">
                  <c:v>76.604444311897808</c:v>
                </c:pt>
                <c:pt idx="27">
                  <c:v>70.710678118654755</c:v>
                </c:pt>
                <c:pt idx="28">
                  <c:v>64.278760968653941</c:v>
                </c:pt>
                <c:pt idx="29">
                  <c:v>57.357643635104594</c:v>
                </c:pt>
                <c:pt idx="30">
                  <c:v>49.999999999999993</c:v>
                </c:pt>
                <c:pt idx="31">
                  <c:v>42.261826174069952</c:v>
                </c:pt>
                <c:pt idx="32">
                  <c:v>34.20201433256689</c:v>
                </c:pt>
                <c:pt idx="33">
                  <c:v>25.881904510252102</c:v>
                </c:pt>
                <c:pt idx="34">
                  <c:v>17.364817766693026</c:v>
                </c:pt>
                <c:pt idx="35">
                  <c:v>8.7155742747658191</c:v>
                </c:pt>
                <c:pt idx="36">
                  <c:v>1.22514845490862E-14</c:v>
                </c:pt>
                <c:pt idx="37">
                  <c:v>-8.7155742747657943</c:v>
                </c:pt>
                <c:pt idx="38">
                  <c:v>-17.364817766693047</c:v>
                </c:pt>
                <c:pt idx="39">
                  <c:v>-25.881904510252081</c:v>
                </c:pt>
                <c:pt idx="40">
                  <c:v>-34.202014332566868</c:v>
                </c:pt>
                <c:pt idx="41">
                  <c:v>-42.261826174069924</c:v>
                </c:pt>
                <c:pt idx="42">
                  <c:v>-50.000000000000014</c:v>
                </c:pt>
                <c:pt idx="43">
                  <c:v>-57.357643635104615</c:v>
                </c:pt>
                <c:pt idx="44">
                  <c:v>-64.278760968653927</c:v>
                </c:pt>
                <c:pt idx="45">
                  <c:v>-70.710678118654741</c:v>
                </c:pt>
                <c:pt idx="46">
                  <c:v>-76.604444311897794</c:v>
                </c:pt>
                <c:pt idx="47">
                  <c:v>-81.915204428899159</c:v>
                </c:pt>
                <c:pt idx="48">
                  <c:v>-86.602540378443834</c:v>
                </c:pt>
                <c:pt idx="49">
                  <c:v>-90.630778703665001</c:v>
                </c:pt>
                <c:pt idx="50">
                  <c:v>-93.969262078590845</c:v>
                </c:pt>
                <c:pt idx="51">
                  <c:v>-96.592582628906825</c:v>
                </c:pt>
                <c:pt idx="52">
                  <c:v>-98.480775301220802</c:v>
                </c:pt>
                <c:pt idx="53">
                  <c:v>-99.619469809174561</c:v>
                </c:pt>
                <c:pt idx="54">
                  <c:v>-100</c:v>
                </c:pt>
                <c:pt idx="55">
                  <c:v>-99.619469809174561</c:v>
                </c:pt>
                <c:pt idx="56">
                  <c:v>-98.480775301220817</c:v>
                </c:pt>
                <c:pt idx="57">
                  <c:v>-96.59258262890684</c:v>
                </c:pt>
                <c:pt idx="58">
                  <c:v>-93.96926207859083</c:v>
                </c:pt>
                <c:pt idx="59">
                  <c:v>-90.630778703664987</c:v>
                </c:pt>
                <c:pt idx="60">
                  <c:v>-86.602540378443862</c:v>
                </c:pt>
                <c:pt idx="61">
                  <c:v>-81.915204428899173</c:v>
                </c:pt>
                <c:pt idx="62">
                  <c:v>-76.604444311897808</c:v>
                </c:pt>
                <c:pt idx="63">
                  <c:v>-70.710678118654769</c:v>
                </c:pt>
                <c:pt idx="64">
                  <c:v>-64.278760968653955</c:v>
                </c:pt>
                <c:pt idx="65">
                  <c:v>-57.357643635104651</c:v>
                </c:pt>
                <c:pt idx="66">
                  <c:v>-50.000000000000043</c:v>
                </c:pt>
                <c:pt idx="67">
                  <c:v>-42.261826174069924</c:v>
                </c:pt>
                <c:pt idx="68">
                  <c:v>-34.202014332566861</c:v>
                </c:pt>
                <c:pt idx="69">
                  <c:v>-25.881904510252067</c:v>
                </c:pt>
                <c:pt idx="70">
                  <c:v>-17.36481776669304</c:v>
                </c:pt>
                <c:pt idx="71">
                  <c:v>-8.7155742747658316</c:v>
                </c:pt>
                <c:pt idx="72">
                  <c:v>-2.45029690981724E-14</c:v>
                </c:pt>
              </c:numCache>
            </c:numRef>
          </c:yVal>
          <c:smooth val="0"/>
          <c:extLst>
            <c:ext xmlns:c16="http://schemas.microsoft.com/office/drawing/2014/chart" uri="{C3380CC4-5D6E-409C-BE32-E72D297353CC}">
              <c16:uniqueId val="{00000020-A4BD-6C4C-88C9-B139B3177669}"/>
            </c:ext>
          </c:extLst>
        </c:ser>
        <c:ser>
          <c:idx val="1"/>
          <c:order val="14"/>
          <c:spPr>
            <a:ln w="25400">
              <a:solidFill>
                <a:srgbClr val="DD2D32"/>
              </a:solidFill>
              <a:prstDash val="solid"/>
            </a:ln>
          </c:spPr>
          <c:marker>
            <c:symbol val="none"/>
          </c:marker>
          <c:xVal>
            <c:numRef>
              <c:f>Calculations!$AC$10:$AC$82</c:f>
              <c:numCache>
                <c:formatCode>#,##0.00</c:formatCode>
                <c:ptCount val="73"/>
                <c:pt idx="0">
                  <c:v>40</c:v>
                </c:pt>
                <c:pt idx="1">
                  <c:v>39.84778792366982</c:v>
                </c:pt>
                <c:pt idx="2">
                  <c:v>39.392310120488318</c:v>
                </c:pt>
                <c:pt idx="3">
                  <c:v>38.637033051562732</c:v>
                </c:pt>
                <c:pt idx="4">
                  <c:v>37.587704831436341</c:v>
                </c:pt>
                <c:pt idx="5">
                  <c:v>36.252311481465995</c:v>
                </c:pt>
                <c:pt idx="6">
                  <c:v>34.641016151377549</c:v>
                </c:pt>
                <c:pt idx="7">
                  <c:v>32.766081771559669</c:v>
                </c:pt>
                <c:pt idx="8">
                  <c:v>30.64177772475912</c:v>
                </c:pt>
                <c:pt idx="9">
                  <c:v>28.284271247461902</c:v>
                </c:pt>
                <c:pt idx="10">
                  <c:v>25.711504387461574</c:v>
                </c:pt>
                <c:pt idx="11">
                  <c:v>22.943057454041845</c:v>
                </c:pt>
                <c:pt idx="12">
                  <c:v>20.000000000000004</c:v>
                </c:pt>
                <c:pt idx="13">
                  <c:v>16.904730469627978</c:v>
                </c:pt>
                <c:pt idx="14">
                  <c:v>13.680805733026753</c:v>
                </c:pt>
                <c:pt idx="15">
                  <c:v>10.35276180410083</c:v>
                </c:pt>
                <c:pt idx="16">
                  <c:v>6.9459271066772166</c:v>
                </c:pt>
                <c:pt idx="17">
                  <c:v>3.4862297099063255</c:v>
                </c:pt>
                <c:pt idx="18">
                  <c:v>2.45029690981724E-15</c:v>
                </c:pt>
                <c:pt idx="19">
                  <c:v>-3.4862297099063295</c:v>
                </c:pt>
                <c:pt idx="20">
                  <c:v>-6.9459271066772121</c:v>
                </c:pt>
                <c:pt idx="21">
                  <c:v>-10.352761804100833</c:v>
                </c:pt>
                <c:pt idx="22">
                  <c:v>-13.680805733026748</c:v>
                </c:pt>
                <c:pt idx="23">
                  <c:v>-16.904730469627975</c:v>
                </c:pt>
                <c:pt idx="24">
                  <c:v>-19.999999999999993</c:v>
                </c:pt>
                <c:pt idx="25">
                  <c:v>-22.943057454041845</c:v>
                </c:pt>
                <c:pt idx="26">
                  <c:v>-25.711504387461574</c:v>
                </c:pt>
                <c:pt idx="27">
                  <c:v>-28.284271247461898</c:v>
                </c:pt>
                <c:pt idx="28">
                  <c:v>-30.641777724759116</c:v>
                </c:pt>
                <c:pt idx="29">
                  <c:v>-32.766081771559676</c:v>
                </c:pt>
                <c:pt idx="30">
                  <c:v>-34.641016151377549</c:v>
                </c:pt>
                <c:pt idx="31">
                  <c:v>-36.252311481465995</c:v>
                </c:pt>
                <c:pt idx="32">
                  <c:v>-37.587704831436334</c:v>
                </c:pt>
                <c:pt idx="33">
                  <c:v>-38.637033051562724</c:v>
                </c:pt>
                <c:pt idx="34">
                  <c:v>-39.392310120488318</c:v>
                </c:pt>
                <c:pt idx="35">
                  <c:v>-39.84778792366982</c:v>
                </c:pt>
                <c:pt idx="36">
                  <c:v>-40</c:v>
                </c:pt>
                <c:pt idx="37">
                  <c:v>-39.84778792366982</c:v>
                </c:pt>
                <c:pt idx="38">
                  <c:v>-39.392310120488318</c:v>
                </c:pt>
                <c:pt idx="39">
                  <c:v>-38.637033051562732</c:v>
                </c:pt>
                <c:pt idx="40">
                  <c:v>-37.587704831436341</c:v>
                </c:pt>
                <c:pt idx="41">
                  <c:v>-36.252311481466002</c:v>
                </c:pt>
                <c:pt idx="42">
                  <c:v>-34.641016151377542</c:v>
                </c:pt>
                <c:pt idx="43">
                  <c:v>-32.766081771559669</c:v>
                </c:pt>
                <c:pt idx="44">
                  <c:v>-30.64177772475912</c:v>
                </c:pt>
                <c:pt idx="45">
                  <c:v>-28.284271247461909</c:v>
                </c:pt>
                <c:pt idx="46">
                  <c:v>-25.711504387461581</c:v>
                </c:pt>
                <c:pt idx="47">
                  <c:v>-22.943057454041856</c:v>
                </c:pt>
                <c:pt idx="48">
                  <c:v>-20.000000000000018</c:v>
                </c:pt>
                <c:pt idx="49">
                  <c:v>-16.904730469627967</c:v>
                </c:pt>
                <c:pt idx="50">
                  <c:v>-13.680805733026741</c:v>
                </c:pt>
                <c:pt idx="51">
                  <c:v>-10.352761804100826</c:v>
                </c:pt>
                <c:pt idx="52">
                  <c:v>-6.945927106677213</c:v>
                </c:pt>
                <c:pt idx="53">
                  <c:v>-3.48622970990633</c:v>
                </c:pt>
                <c:pt idx="54">
                  <c:v>-7.3508907294517201E-15</c:v>
                </c:pt>
                <c:pt idx="55">
                  <c:v>3.4862297099063158</c:v>
                </c:pt>
                <c:pt idx="56">
                  <c:v>6.9459271066771988</c:v>
                </c:pt>
                <c:pt idx="57">
                  <c:v>10.352761804100812</c:v>
                </c:pt>
                <c:pt idx="58">
                  <c:v>13.680805733026759</c:v>
                </c:pt>
                <c:pt idx="59">
                  <c:v>16.904730469627985</c:v>
                </c:pt>
                <c:pt idx="60">
                  <c:v>20.000000000000004</c:v>
                </c:pt>
                <c:pt idx="61">
                  <c:v>22.943057454041842</c:v>
                </c:pt>
                <c:pt idx="62">
                  <c:v>25.71150438746157</c:v>
                </c:pt>
                <c:pt idx="63">
                  <c:v>28.284271247461895</c:v>
                </c:pt>
                <c:pt idx="64">
                  <c:v>30.641777724759113</c:v>
                </c:pt>
                <c:pt idx="65">
                  <c:v>32.766081771559662</c:v>
                </c:pt>
                <c:pt idx="66">
                  <c:v>34.641016151377535</c:v>
                </c:pt>
                <c:pt idx="67">
                  <c:v>36.252311481466002</c:v>
                </c:pt>
                <c:pt idx="68">
                  <c:v>37.587704831436341</c:v>
                </c:pt>
                <c:pt idx="69">
                  <c:v>38.637033051562732</c:v>
                </c:pt>
                <c:pt idx="70">
                  <c:v>39.392310120488318</c:v>
                </c:pt>
                <c:pt idx="71">
                  <c:v>39.84778792366982</c:v>
                </c:pt>
                <c:pt idx="72">
                  <c:v>40</c:v>
                </c:pt>
              </c:numCache>
            </c:numRef>
          </c:xVal>
          <c:yVal>
            <c:numRef>
              <c:f>Calculations!$AD$10:$AD$82</c:f>
              <c:numCache>
                <c:formatCode>#,##0.00</c:formatCode>
                <c:ptCount val="73"/>
                <c:pt idx="0">
                  <c:v>0</c:v>
                </c:pt>
                <c:pt idx="1">
                  <c:v>3.4862297099063264</c:v>
                </c:pt>
                <c:pt idx="2">
                  <c:v>6.945927106677213</c:v>
                </c:pt>
                <c:pt idx="3">
                  <c:v>10.35276180410083</c:v>
                </c:pt>
                <c:pt idx="4">
                  <c:v>13.680805733026748</c:v>
                </c:pt>
                <c:pt idx="5">
                  <c:v>16.904730469627978</c:v>
                </c:pt>
                <c:pt idx="6">
                  <c:v>19.999999999999996</c:v>
                </c:pt>
                <c:pt idx="7">
                  <c:v>22.943057454041842</c:v>
                </c:pt>
                <c:pt idx="8">
                  <c:v>25.71150438746157</c:v>
                </c:pt>
                <c:pt idx="9">
                  <c:v>28.284271247461898</c:v>
                </c:pt>
                <c:pt idx="10">
                  <c:v>30.64177772475912</c:v>
                </c:pt>
                <c:pt idx="11">
                  <c:v>32.766081771559669</c:v>
                </c:pt>
                <c:pt idx="12">
                  <c:v>34.641016151377542</c:v>
                </c:pt>
                <c:pt idx="13">
                  <c:v>36.252311481465995</c:v>
                </c:pt>
                <c:pt idx="14">
                  <c:v>37.587704831436334</c:v>
                </c:pt>
                <c:pt idx="15">
                  <c:v>38.637033051562732</c:v>
                </c:pt>
                <c:pt idx="16">
                  <c:v>39.392310120488318</c:v>
                </c:pt>
                <c:pt idx="17">
                  <c:v>39.84778792366982</c:v>
                </c:pt>
                <c:pt idx="18">
                  <c:v>40</c:v>
                </c:pt>
                <c:pt idx="19">
                  <c:v>39.84778792366982</c:v>
                </c:pt>
                <c:pt idx="20">
                  <c:v>39.392310120488318</c:v>
                </c:pt>
                <c:pt idx="21">
                  <c:v>38.637033051562732</c:v>
                </c:pt>
                <c:pt idx="22">
                  <c:v>37.587704831436341</c:v>
                </c:pt>
                <c:pt idx="23">
                  <c:v>36.252311481466002</c:v>
                </c:pt>
                <c:pt idx="24">
                  <c:v>34.641016151377549</c:v>
                </c:pt>
                <c:pt idx="25">
                  <c:v>32.766081771559669</c:v>
                </c:pt>
                <c:pt idx="26">
                  <c:v>30.64177772475912</c:v>
                </c:pt>
                <c:pt idx="27">
                  <c:v>28.284271247461902</c:v>
                </c:pt>
                <c:pt idx="28">
                  <c:v>25.711504387461581</c:v>
                </c:pt>
                <c:pt idx="29">
                  <c:v>22.943057454041838</c:v>
                </c:pt>
                <c:pt idx="30">
                  <c:v>19.999999999999996</c:v>
                </c:pt>
                <c:pt idx="31">
                  <c:v>16.904730469627978</c:v>
                </c:pt>
                <c:pt idx="32">
                  <c:v>13.680805733026755</c:v>
                </c:pt>
                <c:pt idx="33">
                  <c:v>10.35276180410084</c:v>
                </c:pt>
                <c:pt idx="34">
                  <c:v>6.9459271066772112</c:v>
                </c:pt>
                <c:pt idx="35">
                  <c:v>3.4862297099063277</c:v>
                </c:pt>
                <c:pt idx="36">
                  <c:v>4.90059381963448E-15</c:v>
                </c:pt>
                <c:pt idx="37">
                  <c:v>-3.4862297099063175</c:v>
                </c:pt>
                <c:pt idx="38">
                  <c:v>-6.9459271066772192</c:v>
                </c:pt>
                <c:pt idx="39">
                  <c:v>-10.352761804100831</c:v>
                </c:pt>
                <c:pt idx="40">
                  <c:v>-13.680805733026746</c:v>
                </c:pt>
                <c:pt idx="41">
                  <c:v>-16.904730469627971</c:v>
                </c:pt>
                <c:pt idx="42">
                  <c:v>-20.000000000000004</c:v>
                </c:pt>
                <c:pt idx="43">
                  <c:v>-22.943057454041845</c:v>
                </c:pt>
                <c:pt idx="44">
                  <c:v>-25.71150438746157</c:v>
                </c:pt>
                <c:pt idx="45">
                  <c:v>-28.284271247461898</c:v>
                </c:pt>
                <c:pt idx="46">
                  <c:v>-30.641777724759116</c:v>
                </c:pt>
                <c:pt idx="47">
                  <c:v>-32.766081771559662</c:v>
                </c:pt>
                <c:pt idx="48">
                  <c:v>-34.641016151377535</c:v>
                </c:pt>
                <c:pt idx="49">
                  <c:v>-36.252311481466002</c:v>
                </c:pt>
                <c:pt idx="50">
                  <c:v>-37.587704831436341</c:v>
                </c:pt>
                <c:pt idx="51">
                  <c:v>-38.637033051562732</c:v>
                </c:pt>
                <c:pt idx="52">
                  <c:v>-39.392310120488318</c:v>
                </c:pt>
                <c:pt idx="53">
                  <c:v>-39.84778792366982</c:v>
                </c:pt>
                <c:pt idx="54">
                  <c:v>-40</c:v>
                </c:pt>
                <c:pt idx="55">
                  <c:v>-39.84778792366982</c:v>
                </c:pt>
                <c:pt idx="56">
                  <c:v>-39.392310120488325</c:v>
                </c:pt>
                <c:pt idx="57">
                  <c:v>-38.637033051562739</c:v>
                </c:pt>
                <c:pt idx="58">
                  <c:v>-37.587704831436334</c:v>
                </c:pt>
                <c:pt idx="59">
                  <c:v>-36.252311481465995</c:v>
                </c:pt>
                <c:pt idx="60">
                  <c:v>-34.641016151377542</c:v>
                </c:pt>
                <c:pt idx="61">
                  <c:v>-32.766081771559669</c:v>
                </c:pt>
                <c:pt idx="62">
                  <c:v>-30.641777724759123</c:v>
                </c:pt>
                <c:pt idx="63">
                  <c:v>-28.284271247461909</c:v>
                </c:pt>
                <c:pt idx="64">
                  <c:v>-25.711504387461584</c:v>
                </c:pt>
                <c:pt idx="65">
                  <c:v>-22.94305745404186</c:v>
                </c:pt>
                <c:pt idx="66">
                  <c:v>-20.000000000000018</c:v>
                </c:pt>
                <c:pt idx="67">
                  <c:v>-16.904730469627967</c:v>
                </c:pt>
                <c:pt idx="68">
                  <c:v>-13.680805733026745</c:v>
                </c:pt>
                <c:pt idx="69">
                  <c:v>-10.352761804100828</c:v>
                </c:pt>
                <c:pt idx="70">
                  <c:v>-6.9459271066772157</c:v>
                </c:pt>
                <c:pt idx="71">
                  <c:v>-3.4862297099063326</c:v>
                </c:pt>
                <c:pt idx="72">
                  <c:v>-9.8011876392689601E-15</c:v>
                </c:pt>
              </c:numCache>
            </c:numRef>
          </c:yVal>
          <c:smooth val="0"/>
          <c:extLst>
            <c:ext xmlns:c16="http://schemas.microsoft.com/office/drawing/2014/chart" uri="{C3380CC4-5D6E-409C-BE32-E72D297353CC}">
              <c16:uniqueId val="{00000021-A4BD-6C4C-88C9-B139B3177669}"/>
            </c:ext>
          </c:extLst>
        </c:ser>
        <c:ser>
          <c:idx val="2"/>
          <c:order val="15"/>
          <c:spPr>
            <a:ln w="25400">
              <a:solidFill>
                <a:srgbClr val="DD2D32"/>
              </a:solidFill>
              <a:prstDash val="solid"/>
            </a:ln>
          </c:spPr>
          <c:marker>
            <c:symbol val="none"/>
          </c:marker>
          <c:xVal>
            <c:numRef>
              <c:f>Calculations!$AE$10:$AE$82</c:f>
              <c:numCache>
                <c:formatCode>#,##0.00</c:formatCode>
                <c:ptCount val="73"/>
                <c:pt idx="0">
                  <c:v>63.245553203367592</c:v>
                </c:pt>
                <c:pt idx="1">
                  <c:v>63.00488477907421</c:v>
                </c:pt>
                <c:pt idx="2">
                  <c:v>62.284711138222491</c:v>
                </c:pt>
                <c:pt idx="3">
                  <c:v>61.090513237072074</c:v>
                </c:pt>
                <c:pt idx="4">
                  <c:v>59.431379642727101</c:v>
                </c:pt>
                <c:pt idx="5">
                  <c:v>57.319937363652791</c:v>
                </c:pt>
                <c:pt idx="6">
                  <c:v>54.772255750516621</c:v>
                </c:pt>
                <c:pt idx="7">
                  <c:v>51.80772419872676</c:v>
                </c:pt>
                <c:pt idx="8">
                  <c:v>48.448904583425424</c:v>
                </c:pt>
                <c:pt idx="9">
                  <c:v>44.721359549995803</c:v>
                </c:pt>
                <c:pt idx="10">
                  <c:v>40.653457966895509</c:v>
                </c:pt>
                <c:pt idx="11">
                  <c:v>36.276159021438076</c:v>
                </c:pt>
                <c:pt idx="12">
                  <c:v>31.622776601683803</c:v>
                </c:pt>
                <c:pt idx="13">
                  <c:v>26.728725757636138</c:v>
                </c:pt>
                <c:pt idx="14">
                  <c:v>21.631253171326996</c:v>
                </c:pt>
                <c:pt idx="15">
                  <c:v>16.36915368707627</c:v>
                </c:pt>
                <c:pt idx="16">
                  <c:v>10.982475059301676</c:v>
                </c:pt>
                <c:pt idx="17">
                  <c:v>5.512213164926032</c:v>
                </c:pt>
                <c:pt idx="18">
                  <c:v>3.8742595893473368E-15</c:v>
                </c:pt>
                <c:pt idx="19">
                  <c:v>-5.5122131649260382</c:v>
                </c:pt>
                <c:pt idx="20">
                  <c:v>-10.982475059301668</c:v>
                </c:pt>
                <c:pt idx="21">
                  <c:v>-16.369153687076277</c:v>
                </c:pt>
                <c:pt idx="22">
                  <c:v>-21.631253171326989</c:v>
                </c:pt>
                <c:pt idx="23">
                  <c:v>-26.728725757636131</c:v>
                </c:pt>
                <c:pt idx="24">
                  <c:v>-31.622776601683782</c:v>
                </c:pt>
                <c:pt idx="25">
                  <c:v>-36.276159021438076</c:v>
                </c:pt>
                <c:pt idx="26">
                  <c:v>-40.653457966895509</c:v>
                </c:pt>
                <c:pt idx="27">
                  <c:v>-44.721359549995796</c:v>
                </c:pt>
                <c:pt idx="28">
                  <c:v>-48.448904583425417</c:v>
                </c:pt>
                <c:pt idx="29">
                  <c:v>-51.807724198726767</c:v>
                </c:pt>
                <c:pt idx="30">
                  <c:v>-54.772255750516621</c:v>
                </c:pt>
                <c:pt idx="31">
                  <c:v>-57.319937363652791</c:v>
                </c:pt>
                <c:pt idx="32">
                  <c:v>-59.431379642727094</c:v>
                </c:pt>
                <c:pt idx="33">
                  <c:v>-61.090513237072066</c:v>
                </c:pt>
                <c:pt idx="34">
                  <c:v>-62.284711138222491</c:v>
                </c:pt>
                <c:pt idx="35">
                  <c:v>-63.00488477907421</c:v>
                </c:pt>
                <c:pt idx="36">
                  <c:v>-63.245553203367592</c:v>
                </c:pt>
                <c:pt idx="37">
                  <c:v>-63.00488477907421</c:v>
                </c:pt>
                <c:pt idx="38">
                  <c:v>-62.284711138222491</c:v>
                </c:pt>
                <c:pt idx="39">
                  <c:v>-61.090513237072074</c:v>
                </c:pt>
                <c:pt idx="40">
                  <c:v>-59.431379642727101</c:v>
                </c:pt>
                <c:pt idx="41">
                  <c:v>-57.319937363652798</c:v>
                </c:pt>
                <c:pt idx="42">
                  <c:v>-54.772255750516614</c:v>
                </c:pt>
                <c:pt idx="43">
                  <c:v>-51.80772419872676</c:v>
                </c:pt>
                <c:pt idx="44">
                  <c:v>-48.448904583425424</c:v>
                </c:pt>
                <c:pt idx="45">
                  <c:v>-44.72135954999581</c:v>
                </c:pt>
                <c:pt idx="46">
                  <c:v>-40.653457966895516</c:v>
                </c:pt>
                <c:pt idx="47">
                  <c:v>-36.27615902143809</c:v>
                </c:pt>
                <c:pt idx="48">
                  <c:v>-31.622776601683825</c:v>
                </c:pt>
                <c:pt idx="49">
                  <c:v>-26.72872575763612</c:v>
                </c:pt>
                <c:pt idx="50">
                  <c:v>-21.631253171326978</c:v>
                </c:pt>
                <c:pt idx="51">
                  <c:v>-16.369153687076263</c:v>
                </c:pt>
                <c:pt idx="52">
                  <c:v>-10.98247505930167</c:v>
                </c:pt>
                <c:pt idx="53">
                  <c:v>-5.5122131649260391</c:v>
                </c:pt>
                <c:pt idx="54">
                  <c:v>-1.1622778768042009E-14</c:v>
                </c:pt>
                <c:pt idx="55">
                  <c:v>5.512213164926016</c:v>
                </c:pt>
                <c:pt idx="56">
                  <c:v>10.982475059301647</c:v>
                </c:pt>
                <c:pt idx="57">
                  <c:v>16.369153687076246</c:v>
                </c:pt>
                <c:pt idx="58">
                  <c:v>21.631253171327007</c:v>
                </c:pt>
                <c:pt idx="59">
                  <c:v>26.728725757636148</c:v>
                </c:pt>
                <c:pt idx="60">
                  <c:v>31.622776601683803</c:v>
                </c:pt>
                <c:pt idx="61">
                  <c:v>36.276159021438069</c:v>
                </c:pt>
                <c:pt idx="62">
                  <c:v>40.653457966895502</c:v>
                </c:pt>
                <c:pt idx="63">
                  <c:v>44.721359549995789</c:v>
                </c:pt>
                <c:pt idx="64">
                  <c:v>48.44890458342541</c:v>
                </c:pt>
                <c:pt idx="65">
                  <c:v>51.807724198726746</c:v>
                </c:pt>
                <c:pt idx="66">
                  <c:v>54.772255750516599</c:v>
                </c:pt>
                <c:pt idx="67">
                  <c:v>57.319937363652798</c:v>
                </c:pt>
                <c:pt idx="68">
                  <c:v>59.431379642727101</c:v>
                </c:pt>
                <c:pt idx="69">
                  <c:v>61.090513237072074</c:v>
                </c:pt>
                <c:pt idx="70">
                  <c:v>62.284711138222491</c:v>
                </c:pt>
                <c:pt idx="71">
                  <c:v>63.00488477907421</c:v>
                </c:pt>
                <c:pt idx="72">
                  <c:v>63.245553203367592</c:v>
                </c:pt>
              </c:numCache>
            </c:numRef>
          </c:xVal>
          <c:yVal>
            <c:numRef>
              <c:f>Calculations!$AF$10:$AF$82</c:f>
              <c:numCache>
                <c:formatCode>#,##0.00</c:formatCode>
                <c:ptCount val="73"/>
                <c:pt idx="0">
                  <c:v>0</c:v>
                </c:pt>
                <c:pt idx="1">
                  <c:v>5.5122131649260337</c:v>
                </c:pt>
                <c:pt idx="2">
                  <c:v>10.98247505930167</c:v>
                </c:pt>
                <c:pt idx="3">
                  <c:v>16.36915368707627</c:v>
                </c:pt>
                <c:pt idx="4">
                  <c:v>21.631253171326989</c:v>
                </c:pt>
                <c:pt idx="5">
                  <c:v>26.728725757636138</c:v>
                </c:pt>
                <c:pt idx="6">
                  <c:v>31.622776601683793</c:v>
                </c:pt>
                <c:pt idx="7">
                  <c:v>36.276159021438069</c:v>
                </c:pt>
                <c:pt idx="8">
                  <c:v>40.653457966895502</c:v>
                </c:pt>
                <c:pt idx="9">
                  <c:v>44.721359549995796</c:v>
                </c:pt>
                <c:pt idx="10">
                  <c:v>48.448904583425424</c:v>
                </c:pt>
                <c:pt idx="11">
                  <c:v>51.80772419872676</c:v>
                </c:pt>
                <c:pt idx="12">
                  <c:v>54.772255750516614</c:v>
                </c:pt>
                <c:pt idx="13">
                  <c:v>57.319937363652791</c:v>
                </c:pt>
                <c:pt idx="14">
                  <c:v>59.431379642727094</c:v>
                </c:pt>
                <c:pt idx="15">
                  <c:v>61.090513237072074</c:v>
                </c:pt>
                <c:pt idx="16">
                  <c:v>62.284711138222491</c:v>
                </c:pt>
                <c:pt idx="17">
                  <c:v>63.00488477907421</c:v>
                </c:pt>
                <c:pt idx="18">
                  <c:v>63.245553203367592</c:v>
                </c:pt>
                <c:pt idx="19">
                  <c:v>63.00488477907421</c:v>
                </c:pt>
                <c:pt idx="20">
                  <c:v>62.284711138222491</c:v>
                </c:pt>
                <c:pt idx="21">
                  <c:v>61.090513237072074</c:v>
                </c:pt>
                <c:pt idx="22">
                  <c:v>59.431379642727101</c:v>
                </c:pt>
                <c:pt idx="23">
                  <c:v>57.319937363652798</c:v>
                </c:pt>
                <c:pt idx="24">
                  <c:v>54.772255750516621</c:v>
                </c:pt>
                <c:pt idx="25">
                  <c:v>51.807724198726753</c:v>
                </c:pt>
                <c:pt idx="26">
                  <c:v>48.448904583425424</c:v>
                </c:pt>
                <c:pt idx="27">
                  <c:v>44.721359549995803</c:v>
                </c:pt>
                <c:pt idx="28">
                  <c:v>40.653457966895516</c:v>
                </c:pt>
                <c:pt idx="29">
                  <c:v>36.276159021438062</c:v>
                </c:pt>
                <c:pt idx="30">
                  <c:v>31.622776601683793</c:v>
                </c:pt>
                <c:pt idx="31">
                  <c:v>26.728725757636141</c:v>
                </c:pt>
                <c:pt idx="32">
                  <c:v>21.631253171327</c:v>
                </c:pt>
                <c:pt idx="33">
                  <c:v>16.369153687076288</c:v>
                </c:pt>
                <c:pt idx="34">
                  <c:v>10.982475059301667</c:v>
                </c:pt>
                <c:pt idx="35">
                  <c:v>5.5122131649260355</c:v>
                </c:pt>
                <c:pt idx="36">
                  <c:v>7.7485191786946735E-15</c:v>
                </c:pt>
                <c:pt idx="37">
                  <c:v>-5.5122131649260195</c:v>
                </c:pt>
                <c:pt idx="38">
                  <c:v>-10.982475059301679</c:v>
                </c:pt>
                <c:pt idx="39">
                  <c:v>-16.369153687076274</c:v>
                </c:pt>
                <c:pt idx="40">
                  <c:v>-21.631253171326986</c:v>
                </c:pt>
                <c:pt idx="41">
                  <c:v>-26.728725757636127</c:v>
                </c:pt>
                <c:pt idx="42">
                  <c:v>-31.622776601683803</c:v>
                </c:pt>
                <c:pt idx="43">
                  <c:v>-36.276159021438076</c:v>
                </c:pt>
                <c:pt idx="44">
                  <c:v>-40.653457966895502</c:v>
                </c:pt>
                <c:pt idx="45">
                  <c:v>-44.721359549995796</c:v>
                </c:pt>
                <c:pt idx="46">
                  <c:v>-48.448904583425417</c:v>
                </c:pt>
                <c:pt idx="47">
                  <c:v>-51.807724198726746</c:v>
                </c:pt>
                <c:pt idx="48">
                  <c:v>-54.772255750516599</c:v>
                </c:pt>
                <c:pt idx="49">
                  <c:v>-57.319937363652798</c:v>
                </c:pt>
                <c:pt idx="50">
                  <c:v>-59.431379642727101</c:v>
                </c:pt>
                <c:pt idx="51">
                  <c:v>-61.090513237072074</c:v>
                </c:pt>
                <c:pt idx="52">
                  <c:v>-62.284711138222491</c:v>
                </c:pt>
                <c:pt idx="53">
                  <c:v>-63.00488477907421</c:v>
                </c:pt>
                <c:pt idx="54">
                  <c:v>-63.245553203367592</c:v>
                </c:pt>
                <c:pt idx="55">
                  <c:v>-63.00488477907421</c:v>
                </c:pt>
                <c:pt idx="56">
                  <c:v>-62.284711138222498</c:v>
                </c:pt>
                <c:pt idx="57">
                  <c:v>-61.090513237072081</c:v>
                </c:pt>
                <c:pt idx="58">
                  <c:v>-59.431379642727094</c:v>
                </c:pt>
                <c:pt idx="59">
                  <c:v>-57.319937363652791</c:v>
                </c:pt>
                <c:pt idx="60">
                  <c:v>-54.772255750516614</c:v>
                </c:pt>
                <c:pt idx="61">
                  <c:v>-51.80772419872676</c:v>
                </c:pt>
                <c:pt idx="62">
                  <c:v>-48.448904583425431</c:v>
                </c:pt>
                <c:pt idx="63">
                  <c:v>-44.72135954999581</c:v>
                </c:pt>
                <c:pt idx="64">
                  <c:v>-40.653457966895523</c:v>
                </c:pt>
                <c:pt idx="65">
                  <c:v>-36.276159021438097</c:v>
                </c:pt>
                <c:pt idx="66">
                  <c:v>-31.622776601683825</c:v>
                </c:pt>
                <c:pt idx="67">
                  <c:v>-26.728725757636123</c:v>
                </c:pt>
                <c:pt idx="68">
                  <c:v>-21.631253171326982</c:v>
                </c:pt>
                <c:pt idx="69">
                  <c:v>-16.369153687076267</c:v>
                </c:pt>
                <c:pt idx="70">
                  <c:v>-10.982475059301674</c:v>
                </c:pt>
                <c:pt idx="71">
                  <c:v>-5.5122131649260435</c:v>
                </c:pt>
                <c:pt idx="72">
                  <c:v>-1.5497038357389347E-14</c:v>
                </c:pt>
              </c:numCache>
            </c:numRef>
          </c:yVal>
          <c:smooth val="0"/>
          <c:extLst>
            <c:ext xmlns:c16="http://schemas.microsoft.com/office/drawing/2014/chart" uri="{C3380CC4-5D6E-409C-BE32-E72D297353CC}">
              <c16:uniqueId val="{00000022-A4BD-6C4C-88C9-B139B3177669}"/>
            </c:ext>
          </c:extLst>
        </c:ser>
        <c:ser>
          <c:idx val="3"/>
          <c:order val="16"/>
          <c:spPr>
            <a:ln w="28575">
              <a:noFill/>
            </a:ln>
          </c:spPr>
          <c:marker>
            <c:symbol val="circle"/>
            <c:size val="7"/>
            <c:spPr>
              <a:solidFill>
                <a:srgbClr val="0000D4"/>
              </a:solidFill>
              <a:ln w="9525">
                <a:noFill/>
              </a:ln>
            </c:spPr>
          </c:marker>
          <c:dLbls>
            <c:dLbl>
              <c:idx val="0"/>
              <c:delete val="1"/>
              <c:extLst>
                <c:ext xmlns:c15="http://schemas.microsoft.com/office/drawing/2012/chart" uri="{CE6537A1-D6FC-4f65-9D91-7224C49458BB}"/>
                <c:ext xmlns:c16="http://schemas.microsoft.com/office/drawing/2014/chart" uri="{C3380CC4-5D6E-409C-BE32-E72D297353CC}">
                  <c16:uniqueId val="{00000023-A4BD-6C4C-88C9-B139B3177669}"/>
                </c:ext>
              </c:extLst>
            </c:dLbl>
            <c:dLbl>
              <c:idx val="1"/>
              <c:layout>
                <c:manualLayout>
                  <c:x val="-7.7826536060030113E-3"/>
                  <c:y val="-7.8479503657823552E-3"/>
                </c:manualLayout>
              </c:layout>
              <c:tx>
                <c:rich>
                  <a:bodyPr rot="4500000" vert="horz"/>
                  <a:lstStyle/>
                  <a:p>
                    <a:pPr algn="ctr">
                      <a:defRPr sz="1075" b="1" i="0" u="none" strike="noStrike" baseline="0">
                        <a:solidFill>
                          <a:srgbClr val="0000D4"/>
                        </a:solidFill>
                        <a:latin typeface="Verdana"/>
                        <a:ea typeface="Verdana"/>
                        <a:cs typeface="Verdana"/>
                      </a:defRPr>
                    </a:pPr>
                    <a:r>
                      <a:rPr lang="en-US"/>
                      <a:t>V</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4-A4BD-6C4C-88C9-B139B3177669}"/>
                </c:ext>
              </c:extLst>
            </c:dLbl>
            <c:dLbl>
              <c:idx val="2"/>
              <c:layout>
                <c:manualLayout>
                  <c:x val="-1.0825781909027398E-2"/>
                  <c:y val="-1.5738257272237179E-2"/>
                </c:manualLayout>
              </c:layout>
              <c:tx>
                <c:rich>
                  <a:bodyPr rot="3600000" vert="horz"/>
                  <a:lstStyle/>
                  <a:p>
                    <a:pPr algn="ctr">
                      <a:defRPr sz="1075" b="1" i="0" u="none" strike="noStrike" baseline="0">
                        <a:solidFill>
                          <a:srgbClr val="0000D4"/>
                        </a:solidFill>
                        <a:latin typeface="Verdana"/>
                        <a:ea typeface="Verdana"/>
                        <a:cs typeface="Verdana"/>
                      </a:defRPr>
                    </a:pPr>
                    <a:r>
                      <a:rPr lang="en-US"/>
                      <a:t>IV</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A4BD-6C4C-88C9-B139B3177669}"/>
                </c:ext>
              </c:extLst>
            </c:dLbl>
            <c:dLbl>
              <c:idx val="3"/>
              <c:layout>
                <c:manualLayout>
                  <c:x val="-2.0164291977024507E-2"/>
                  <c:y val="-2.1131278583432833E-2"/>
                </c:manualLayout>
              </c:layout>
              <c:tx>
                <c:rich>
                  <a:bodyPr rot="2700000" vert="horz"/>
                  <a:lstStyle/>
                  <a:p>
                    <a:pPr algn="ctr">
                      <a:defRPr sz="1075" b="1" i="0" u="none" strike="noStrike" baseline="0">
                        <a:solidFill>
                          <a:srgbClr val="0000D4"/>
                        </a:solidFill>
                        <a:latin typeface="Verdana"/>
                        <a:ea typeface="Verdana"/>
                        <a:cs typeface="Verdana"/>
                      </a:defRPr>
                    </a:pPr>
                    <a:r>
                      <a:rPr lang="en-US"/>
                      <a:t>III</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A4BD-6C4C-88C9-B139B3177669}"/>
                </c:ext>
              </c:extLst>
            </c:dLbl>
            <c:dLbl>
              <c:idx val="4"/>
              <c:layout>
                <c:manualLayout>
                  <c:x val="-2.0611138640467548E-2"/>
                  <c:y val="-2.2209790888923001E-2"/>
                </c:manualLayout>
              </c:layout>
              <c:tx>
                <c:rich>
                  <a:bodyPr rot="1800000" vert="horz"/>
                  <a:lstStyle/>
                  <a:p>
                    <a:pPr algn="ctr">
                      <a:defRPr sz="1075" b="1" i="0" u="none" strike="noStrike" baseline="0">
                        <a:solidFill>
                          <a:srgbClr val="0000D4"/>
                        </a:solidFill>
                        <a:latin typeface="Verdana"/>
                        <a:ea typeface="Verdana"/>
                        <a:cs typeface="Verdana"/>
                      </a:defRPr>
                    </a:pPr>
                    <a:r>
                      <a:rPr lang="en-US"/>
                      <a:t>II</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7-A4BD-6C4C-88C9-B139B3177669}"/>
                </c:ext>
              </c:extLst>
            </c:dLbl>
            <c:dLbl>
              <c:idx val="5"/>
              <c:layout>
                <c:manualLayout>
                  <c:x val="-1.883763612746682E-2"/>
                  <c:y val="-2.7198757884074738E-2"/>
                </c:manualLayout>
              </c:layout>
              <c:tx>
                <c:rich>
                  <a:bodyPr rot="900000" vert="horz"/>
                  <a:lstStyle/>
                  <a:p>
                    <a:pPr algn="ctr">
                      <a:defRPr sz="1075" b="1" i="0" u="none" strike="noStrike" baseline="0">
                        <a:solidFill>
                          <a:srgbClr val="0000D4"/>
                        </a:solidFill>
                        <a:latin typeface="Verdana"/>
                        <a:ea typeface="Verdana"/>
                        <a:cs typeface="Verdana"/>
                      </a:defRPr>
                    </a:pPr>
                    <a:r>
                      <a:rPr lang="en-US"/>
                      <a:t>I</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8-A4BD-6C4C-88C9-B139B3177669}"/>
                </c:ext>
              </c:extLst>
            </c:dLbl>
            <c:dLbl>
              <c:idx val="6"/>
              <c:layout>
                <c:manualLayout>
                  <c:x val="-3.8593916389047106E-2"/>
                  <c:y val="-2.6822610802911089E-2"/>
                </c:manualLayout>
              </c:layout>
              <c:tx>
                <c:rich>
                  <a:bodyPr/>
                  <a:lstStyle/>
                  <a:p>
                    <a:pPr>
                      <a:defRPr sz="1075" b="1" i="0" u="none" strike="noStrike" baseline="0">
                        <a:solidFill>
                          <a:srgbClr val="0000D4"/>
                        </a:solidFill>
                        <a:latin typeface="Verdana"/>
                        <a:ea typeface="Verdana"/>
                        <a:cs typeface="Verdana"/>
                      </a:defRPr>
                    </a:pPr>
                    <a:r>
                      <a:rPr lang="en-US"/>
                      <a:t>XII</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9-A4BD-6C4C-88C9-B139B3177669}"/>
                </c:ext>
              </c:extLst>
            </c:dLbl>
            <c:dLbl>
              <c:idx val="7"/>
              <c:layout>
                <c:manualLayout>
                  <c:x val="-4.3600912869510122E-2"/>
                  <c:y val="-2.8018158790069529E-2"/>
                </c:manualLayout>
              </c:layout>
              <c:tx>
                <c:rich>
                  <a:bodyPr rot="-900000" vert="horz"/>
                  <a:lstStyle/>
                  <a:p>
                    <a:pPr algn="ctr">
                      <a:defRPr sz="1075" b="1" i="0" u="none" strike="noStrike" baseline="0">
                        <a:solidFill>
                          <a:srgbClr val="0000D4"/>
                        </a:solidFill>
                        <a:latin typeface="Verdana"/>
                        <a:ea typeface="Verdana"/>
                        <a:cs typeface="Verdana"/>
                      </a:defRPr>
                    </a:pPr>
                    <a:r>
                      <a:rPr lang="en-US"/>
                      <a:t>XI</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A-A4BD-6C4C-88C9-B139B3177669}"/>
                </c:ext>
              </c:extLst>
            </c:dLbl>
            <c:dLbl>
              <c:idx val="8"/>
              <c:layout>
                <c:manualLayout>
                  <c:x val="-4.4777267112732874E-2"/>
                  <c:y val="-2.1053311331242806E-2"/>
                </c:manualLayout>
              </c:layout>
              <c:tx>
                <c:rich>
                  <a:bodyPr rot="-1800000" vert="horz"/>
                  <a:lstStyle/>
                  <a:p>
                    <a:pPr algn="ctr">
                      <a:defRPr sz="1075" b="1" i="0" u="none" strike="noStrike" baseline="0">
                        <a:solidFill>
                          <a:srgbClr val="0000D4"/>
                        </a:solidFill>
                        <a:latin typeface="Verdana"/>
                        <a:ea typeface="Verdana"/>
                        <a:cs typeface="Verdana"/>
                      </a:defRPr>
                    </a:pPr>
                    <a:r>
                      <a:rPr lang="en-US"/>
                      <a:t>X</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B-A4BD-6C4C-88C9-B139B3177669}"/>
                </c:ext>
              </c:extLst>
            </c:dLbl>
            <c:dLbl>
              <c:idx val="9"/>
              <c:layout>
                <c:manualLayout>
                  <c:x val="-5.4073684044846117E-2"/>
                  <c:y val="-1.5041444145256157E-2"/>
                </c:manualLayout>
              </c:layout>
              <c:tx>
                <c:rich>
                  <a:bodyPr rot="-2700000" vert="horz"/>
                  <a:lstStyle/>
                  <a:p>
                    <a:pPr algn="ctr">
                      <a:defRPr sz="1075" b="1" i="0" u="none" strike="noStrike" baseline="0">
                        <a:solidFill>
                          <a:srgbClr val="0000D4"/>
                        </a:solidFill>
                        <a:latin typeface="Verdana"/>
                        <a:ea typeface="Verdana"/>
                        <a:cs typeface="Verdana"/>
                      </a:defRPr>
                    </a:pPr>
                    <a:r>
                      <a:rPr lang="en-US"/>
                      <a:t>IX</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C-A4BD-6C4C-88C9-B139B3177669}"/>
                </c:ext>
              </c:extLst>
            </c:dLbl>
            <c:dLbl>
              <c:idx val="10"/>
              <c:layout>
                <c:manualLayout>
                  <c:x val="-6.3412194112843212E-2"/>
                  <c:y val="-7.6230085966846571E-3"/>
                </c:manualLayout>
              </c:layout>
              <c:tx>
                <c:rich>
                  <a:bodyPr rot="-3600000" vert="horz"/>
                  <a:lstStyle/>
                  <a:p>
                    <a:pPr algn="ctr">
                      <a:defRPr sz="1075" b="1" i="0" u="none" strike="noStrike" baseline="0">
                        <a:solidFill>
                          <a:srgbClr val="0000D4"/>
                        </a:solidFill>
                        <a:latin typeface="Verdana"/>
                        <a:ea typeface="Verdana"/>
                        <a:cs typeface="Verdana"/>
                      </a:defRPr>
                    </a:pPr>
                    <a:r>
                      <a:rPr lang="en-US"/>
                      <a:t>VIII</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D-A4BD-6C4C-88C9-B139B3177669}"/>
                </c:ext>
              </c:extLst>
            </c:dLbl>
            <c:dLbl>
              <c:idx val="11"/>
              <c:layout>
                <c:manualLayout>
                  <c:x val="-6.0555608903420863E-2"/>
                  <c:y val="-4.2524495637370624E-3"/>
                </c:manualLayout>
              </c:layout>
              <c:tx>
                <c:rich>
                  <a:bodyPr rot="-4500000" vert="horz"/>
                  <a:lstStyle/>
                  <a:p>
                    <a:pPr algn="ctr">
                      <a:defRPr sz="1075" b="1" i="0" u="none" strike="noStrike" baseline="0">
                        <a:solidFill>
                          <a:srgbClr val="0000D4"/>
                        </a:solidFill>
                        <a:latin typeface="Verdana"/>
                        <a:ea typeface="Verdana"/>
                        <a:cs typeface="Verdana"/>
                      </a:defRPr>
                    </a:pPr>
                    <a:r>
                      <a:rPr lang="en-US"/>
                      <a:t>VII</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E-A4BD-6C4C-88C9-B139B3177669}"/>
                </c:ext>
              </c:extLst>
            </c:dLbl>
            <c:dLbl>
              <c:idx val="12"/>
              <c:layout>
                <c:manualLayout>
                  <c:x val="-5.833525972697725E-2"/>
                  <c:y val="1.2454285079763914E-3"/>
                </c:manualLayout>
              </c:layout>
              <c:tx>
                <c:rich>
                  <a:bodyPr rot="-5400000" vert="horz"/>
                  <a:lstStyle/>
                  <a:p>
                    <a:pPr algn="ctr">
                      <a:defRPr sz="1075" b="1" i="0" u="none" strike="noStrike" baseline="0">
                        <a:solidFill>
                          <a:srgbClr val="0000D4"/>
                        </a:solidFill>
                        <a:latin typeface="Verdana"/>
                        <a:ea typeface="Verdana"/>
                        <a:cs typeface="Verdana"/>
                      </a:defRPr>
                    </a:pPr>
                    <a:r>
                      <a:rPr lang="en-US"/>
                      <a:t>VI</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F-A4BD-6C4C-88C9-B139B3177669}"/>
                </c:ext>
              </c:extLst>
            </c:dLbl>
            <c:dLbl>
              <c:idx val="13"/>
              <c:layout>
                <c:manualLayout>
                  <c:x val="-6.3505465659644295E-2"/>
                  <c:y val="9.0348781983732203E-3"/>
                </c:manualLayout>
              </c:layout>
              <c:tx>
                <c:rich>
                  <a:bodyPr rot="4500000" vert="horz"/>
                  <a:lstStyle/>
                  <a:p>
                    <a:pPr algn="ctr">
                      <a:defRPr sz="1075" b="1" i="0" u="none" strike="noStrike" baseline="0">
                        <a:solidFill>
                          <a:srgbClr val="0000D4"/>
                        </a:solidFill>
                        <a:latin typeface="Verdana"/>
                        <a:ea typeface="Verdana"/>
                        <a:cs typeface="Verdana"/>
                      </a:defRPr>
                    </a:pPr>
                    <a:r>
                      <a:rPr lang="en-US"/>
                      <a:t>V</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0-A4BD-6C4C-88C9-B139B3177669}"/>
                </c:ext>
              </c:extLst>
            </c:dLbl>
            <c:dLbl>
              <c:idx val="14"/>
              <c:layout>
                <c:manualLayout>
                  <c:x val="-6.0462337356619801E-2"/>
                  <c:y val="1.6997427677393206E-2"/>
                </c:manualLayout>
              </c:layout>
              <c:tx>
                <c:rich>
                  <a:bodyPr rot="3600000" vert="horz"/>
                  <a:lstStyle/>
                  <a:p>
                    <a:pPr algn="ctr">
                      <a:defRPr sz="1075" b="1" i="0" u="none" strike="noStrike" baseline="0">
                        <a:solidFill>
                          <a:srgbClr val="0000D4"/>
                        </a:solidFill>
                        <a:latin typeface="Verdana"/>
                        <a:ea typeface="Verdana"/>
                        <a:cs typeface="Verdana"/>
                      </a:defRPr>
                    </a:pPr>
                    <a:r>
                      <a:rPr lang="en-US"/>
                      <a:t>IV</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1-A4BD-6C4C-88C9-B139B3177669}"/>
                </c:ext>
              </c:extLst>
            </c:dLbl>
            <c:dLbl>
              <c:idx val="15"/>
              <c:layout>
                <c:manualLayout>
                  <c:x val="-5.7023540801069528E-2"/>
                  <c:y val="1.6083561103793973E-2"/>
                </c:manualLayout>
              </c:layout>
              <c:tx>
                <c:rich>
                  <a:bodyPr rot="2700000" vert="horz"/>
                  <a:lstStyle/>
                  <a:p>
                    <a:pPr algn="ctr">
                      <a:defRPr sz="1075" b="1" i="0" u="none" strike="noStrike" baseline="0">
                        <a:solidFill>
                          <a:srgbClr val="0000D4"/>
                        </a:solidFill>
                        <a:latin typeface="Verdana"/>
                        <a:ea typeface="Verdana"/>
                        <a:cs typeface="Verdana"/>
                      </a:defRPr>
                    </a:pPr>
                    <a:r>
                      <a:rPr lang="en-US"/>
                      <a:t>III</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2-A4BD-6C4C-88C9-B139B3177669}"/>
                </c:ext>
              </c:extLst>
            </c:dLbl>
            <c:dLbl>
              <c:idx val="16"/>
              <c:layout>
                <c:manualLayout>
                  <c:x val="-4.6252195490844597E-2"/>
                  <c:y val="2.1334721573691436E-2"/>
                </c:manualLayout>
              </c:layout>
              <c:tx>
                <c:rich>
                  <a:bodyPr rot="1800000" vert="horz"/>
                  <a:lstStyle/>
                  <a:p>
                    <a:pPr algn="ctr">
                      <a:defRPr sz="1075" b="1" i="0" u="none" strike="noStrike" baseline="0">
                        <a:solidFill>
                          <a:srgbClr val="0000D4"/>
                        </a:solidFill>
                        <a:latin typeface="Verdana"/>
                        <a:ea typeface="Verdana"/>
                        <a:cs typeface="Verdana"/>
                      </a:defRPr>
                    </a:pPr>
                    <a:r>
                      <a:rPr lang="en-US"/>
                      <a:t>II</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3-A4BD-6C4C-88C9-B139B3177669}"/>
                </c:ext>
              </c:extLst>
            </c:dLbl>
            <c:dLbl>
              <c:idx val="17"/>
              <c:layout>
                <c:manualLayout>
                  <c:x val="-3.3276414222728055E-2"/>
                  <c:y val="2.2685276878202494E-2"/>
                </c:manualLayout>
              </c:layout>
              <c:tx>
                <c:rich>
                  <a:bodyPr rot="900000" vert="horz"/>
                  <a:lstStyle/>
                  <a:p>
                    <a:pPr algn="ctr">
                      <a:defRPr sz="1075" b="1" i="0" u="none" strike="noStrike" baseline="0">
                        <a:solidFill>
                          <a:srgbClr val="0000D4"/>
                        </a:solidFill>
                        <a:latin typeface="Verdana"/>
                        <a:ea typeface="Verdana"/>
                        <a:cs typeface="Verdana"/>
                      </a:defRPr>
                    </a:pPr>
                    <a:r>
                      <a:rPr lang="en-US"/>
                      <a:t>I</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4-A4BD-6C4C-88C9-B139B3177669}"/>
                </c:ext>
              </c:extLst>
            </c:dLbl>
            <c:dLbl>
              <c:idx val="18"/>
              <c:layout>
                <c:manualLayout>
                  <c:x val="-3.71189880109353E-2"/>
                  <c:y val="2.4603658190782234E-2"/>
                </c:manualLayout>
              </c:layout>
              <c:tx>
                <c:rich>
                  <a:bodyPr/>
                  <a:lstStyle/>
                  <a:p>
                    <a:pPr>
                      <a:defRPr sz="1075" b="1" i="0" u="none" strike="noStrike" baseline="0">
                        <a:solidFill>
                          <a:srgbClr val="0000D4"/>
                        </a:solidFill>
                        <a:latin typeface="Verdana"/>
                        <a:ea typeface="Verdana"/>
                        <a:cs typeface="Verdana"/>
                      </a:defRPr>
                    </a:pPr>
                    <a:r>
                      <a:rPr lang="en-US"/>
                      <a:t>XII</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5-A4BD-6C4C-88C9-B139B3177669}"/>
                </c:ext>
              </c:extLst>
            </c:dLbl>
            <c:dLbl>
              <c:idx val="19"/>
              <c:layout>
                <c:manualLayout>
                  <c:x val="-2.7687206396137195E-2"/>
                  <c:y val="2.0461380626998822E-2"/>
                </c:manualLayout>
              </c:layout>
              <c:tx>
                <c:rich>
                  <a:bodyPr rot="-900000" vert="horz"/>
                  <a:lstStyle/>
                  <a:p>
                    <a:pPr algn="ctr">
                      <a:defRPr sz="1075" b="1" i="0" u="none" strike="noStrike" baseline="0">
                        <a:solidFill>
                          <a:srgbClr val="0000D4"/>
                        </a:solidFill>
                        <a:latin typeface="Verdana"/>
                        <a:ea typeface="Verdana"/>
                        <a:cs typeface="Verdana"/>
                      </a:defRPr>
                    </a:pPr>
                    <a:r>
                      <a:rPr lang="en-US"/>
                      <a:t>XI</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6-A4BD-6C4C-88C9-B139B3177669}"/>
                </c:ext>
              </c:extLst>
            </c:dLbl>
            <c:dLbl>
              <c:idx val="20"/>
              <c:layout>
                <c:manualLayout>
                  <c:x val="-2.2086067018579264E-2"/>
                  <c:y val="2.2491201131371659E-2"/>
                </c:manualLayout>
              </c:layout>
              <c:tx>
                <c:rich>
                  <a:bodyPr rot="-1800000" vert="horz"/>
                  <a:lstStyle/>
                  <a:p>
                    <a:pPr algn="ctr">
                      <a:defRPr sz="1075" b="1" i="0" u="none" strike="noStrike" baseline="0">
                        <a:solidFill>
                          <a:srgbClr val="0000D4"/>
                        </a:solidFill>
                        <a:latin typeface="Verdana"/>
                        <a:ea typeface="Verdana"/>
                        <a:cs typeface="Verdana"/>
                      </a:defRPr>
                    </a:pPr>
                    <a:r>
                      <a:rPr lang="en-US"/>
                      <a:t>X</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7-A4BD-6C4C-88C9-B139B3177669}"/>
                </c:ext>
              </c:extLst>
            </c:dLbl>
            <c:dLbl>
              <c:idx val="21"/>
              <c:layout>
                <c:manualLayout>
                  <c:x val="-1.5739506842689426E-2"/>
                  <c:y val="2.2173395541970595E-2"/>
                </c:manualLayout>
              </c:layout>
              <c:tx>
                <c:rich>
                  <a:bodyPr rot="-2700000" vert="horz"/>
                  <a:lstStyle/>
                  <a:p>
                    <a:pPr algn="ctr">
                      <a:defRPr sz="1075" b="1" i="0" u="none" strike="noStrike" baseline="0">
                        <a:solidFill>
                          <a:srgbClr val="0000D4"/>
                        </a:solidFill>
                        <a:latin typeface="Verdana"/>
                        <a:ea typeface="Verdana"/>
                        <a:cs typeface="Verdana"/>
                      </a:defRPr>
                    </a:pPr>
                    <a:r>
                      <a:rPr lang="en-US"/>
                      <a:t>IX</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8-A4BD-6C4C-88C9-B139B3177669}"/>
                </c:ext>
              </c:extLst>
            </c:dLbl>
            <c:dLbl>
              <c:idx val="22"/>
              <c:layout>
                <c:manualLayout>
                  <c:x val="-2.1150280555809489E-2"/>
                  <c:y val="1.8090199626901171E-2"/>
                </c:manualLayout>
              </c:layout>
              <c:tx>
                <c:rich>
                  <a:bodyPr rot="-3600000" vert="horz"/>
                  <a:lstStyle/>
                  <a:p>
                    <a:pPr algn="ctr">
                      <a:defRPr sz="1075" b="1" i="0" u="none" strike="noStrike" baseline="0">
                        <a:solidFill>
                          <a:srgbClr val="0000D4"/>
                        </a:solidFill>
                        <a:latin typeface="Verdana"/>
                        <a:ea typeface="Verdana"/>
                        <a:cs typeface="Verdana"/>
                      </a:defRPr>
                    </a:pPr>
                    <a:r>
                      <a:rPr lang="en-US"/>
                      <a:t>VIII</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9-A4BD-6C4C-88C9-B139B3177669}"/>
                </c:ext>
              </c:extLst>
            </c:dLbl>
            <c:dLbl>
              <c:idx val="23"/>
              <c:layout>
                <c:manualLayout>
                  <c:x val="-1.0732510362226357E-2"/>
                  <c:y val="5.6079022743741212E-3"/>
                </c:manualLayout>
              </c:layout>
              <c:tx>
                <c:rich>
                  <a:bodyPr rot="-4500000" vert="horz"/>
                  <a:lstStyle/>
                  <a:p>
                    <a:pPr algn="ctr">
                      <a:defRPr sz="1075" b="1" i="0" u="none" strike="noStrike" baseline="0">
                        <a:solidFill>
                          <a:srgbClr val="0000D4"/>
                        </a:solidFill>
                        <a:latin typeface="Verdana"/>
                        <a:ea typeface="Verdana"/>
                        <a:cs typeface="Verdana"/>
                      </a:defRPr>
                    </a:pPr>
                    <a:r>
                      <a:rPr lang="en-US"/>
                      <a:t>VII</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A-A4BD-6C4C-88C9-B139B3177669}"/>
                </c:ext>
              </c:extLst>
            </c:dLbl>
            <c:dLbl>
              <c:idx val="24"/>
              <c:layout>
                <c:manualLayout>
                  <c:x val="-5.578217648111455E-3"/>
                  <c:y val="1.2452810544979639E-3"/>
                </c:manualLayout>
              </c:layout>
              <c:tx>
                <c:rich>
                  <a:bodyPr rot="5400000" vert="horz"/>
                  <a:lstStyle/>
                  <a:p>
                    <a:pPr algn="ctr">
                      <a:defRPr sz="1075" b="1" i="0" u="none" strike="noStrike" baseline="0">
                        <a:solidFill>
                          <a:srgbClr val="0000D4"/>
                        </a:solidFill>
                        <a:latin typeface="Verdana"/>
                        <a:ea typeface="Verdana"/>
                        <a:cs typeface="Verdana"/>
                      </a:defRPr>
                    </a:pPr>
                    <a:r>
                      <a:rPr lang="en-US"/>
                      <a:t>VI</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B-A4BD-6C4C-88C9-B139B3177669}"/>
                </c:ext>
              </c:extLst>
            </c:dLbl>
            <c:spPr>
              <a:noFill/>
              <a:ln w="25400">
                <a:noFill/>
              </a:ln>
            </c:spPr>
            <c:txPr>
              <a:bodyPr wrap="square" lIns="38100" tIns="19050" rIns="38100" bIns="19050" anchor="ctr">
                <a:spAutoFit/>
              </a:bodyPr>
              <a:lstStyle/>
              <a:p>
                <a:pPr>
                  <a:defRPr sz="1075" b="0" i="0" u="none" strike="noStrike" baseline="0">
                    <a:solidFill>
                      <a:srgbClr val="000000"/>
                    </a:solidFill>
                    <a:latin typeface="Verdana"/>
                    <a:ea typeface="Verdana"/>
                    <a:cs typeface="Verdana"/>
                  </a:defRPr>
                </a:pPr>
                <a:endParaRPr lang="en-CH"/>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Calculations!$AJ$10:$AJ$34</c:f>
              <c:numCache>
                <c:formatCode>#,##0.00</c:formatCode>
                <c:ptCount val="25"/>
                <c:pt idx="0">
                  <c:v>100</c:v>
                </c:pt>
                <c:pt idx="1">
                  <c:v>96.592582628906825</c:v>
                </c:pt>
                <c:pt idx="2">
                  <c:v>86.602540378443877</c:v>
                </c:pt>
                <c:pt idx="3">
                  <c:v>70.710678118654755</c:v>
                </c:pt>
                <c:pt idx="4">
                  <c:v>50.000000000000014</c:v>
                </c:pt>
                <c:pt idx="5">
                  <c:v>25.881904510252074</c:v>
                </c:pt>
                <c:pt idx="6">
                  <c:v>6.1257422745431001E-15</c:v>
                </c:pt>
                <c:pt idx="7">
                  <c:v>-25.881904510252085</c:v>
                </c:pt>
                <c:pt idx="8">
                  <c:v>-49.999999999999979</c:v>
                </c:pt>
                <c:pt idx="9">
                  <c:v>-70.710678118654741</c:v>
                </c:pt>
                <c:pt idx="10">
                  <c:v>-86.602540378443877</c:v>
                </c:pt>
                <c:pt idx="11">
                  <c:v>-96.592582628906825</c:v>
                </c:pt>
                <c:pt idx="12">
                  <c:v>-100</c:v>
                </c:pt>
                <c:pt idx="13">
                  <c:v>-96.592582628906825</c:v>
                </c:pt>
                <c:pt idx="14">
                  <c:v>-86.602540378443862</c:v>
                </c:pt>
                <c:pt idx="15">
                  <c:v>-70.710678118654769</c:v>
                </c:pt>
                <c:pt idx="16">
                  <c:v>-50.000000000000043</c:v>
                </c:pt>
                <c:pt idx="17">
                  <c:v>-25.881904510252063</c:v>
                </c:pt>
                <c:pt idx="18">
                  <c:v>-1.83772268236293E-14</c:v>
                </c:pt>
                <c:pt idx="19">
                  <c:v>25.881904510252028</c:v>
                </c:pt>
                <c:pt idx="20">
                  <c:v>50.000000000000014</c:v>
                </c:pt>
                <c:pt idx="21">
                  <c:v>70.710678118654741</c:v>
                </c:pt>
                <c:pt idx="22">
                  <c:v>86.602540378443834</c:v>
                </c:pt>
                <c:pt idx="23">
                  <c:v>96.592582628906825</c:v>
                </c:pt>
                <c:pt idx="24">
                  <c:v>100</c:v>
                </c:pt>
              </c:numCache>
            </c:numRef>
          </c:xVal>
          <c:yVal>
            <c:numRef>
              <c:f>Calculations!$AK$10:$AK$34</c:f>
              <c:numCache>
                <c:formatCode>#,##0.00</c:formatCode>
                <c:ptCount val="25"/>
                <c:pt idx="0">
                  <c:v>0</c:v>
                </c:pt>
                <c:pt idx="1">
                  <c:v>25.881904510252074</c:v>
                </c:pt>
                <c:pt idx="2">
                  <c:v>49.999999999999993</c:v>
                </c:pt>
                <c:pt idx="3">
                  <c:v>70.710678118654741</c:v>
                </c:pt>
                <c:pt idx="4">
                  <c:v>86.602540378443862</c:v>
                </c:pt>
                <c:pt idx="5">
                  <c:v>96.592582628906825</c:v>
                </c:pt>
                <c:pt idx="6">
                  <c:v>100</c:v>
                </c:pt>
                <c:pt idx="7">
                  <c:v>96.592582628906825</c:v>
                </c:pt>
                <c:pt idx="8">
                  <c:v>86.602540378443877</c:v>
                </c:pt>
                <c:pt idx="9">
                  <c:v>70.710678118654755</c:v>
                </c:pt>
                <c:pt idx="10">
                  <c:v>49.999999999999993</c:v>
                </c:pt>
                <c:pt idx="11">
                  <c:v>25.881904510252102</c:v>
                </c:pt>
                <c:pt idx="12">
                  <c:v>1.22514845490862E-14</c:v>
                </c:pt>
                <c:pt idx="13">
                  <c:v>-25.881904510252081</c:v>
                </c:pt>
                <c:pt idx="14">
                  <c:v>-50.000000000000014</c:v>
                </c:pt>
                <c:pt idx="15">
                  <c:v>-70.710678118654741</c:v>
                </c:pt>
                <c:pt idx="16">
                  <c:v>-86.602540378443834</c:v>
                </c:pt>
                <c:pt idx="17">
                  <c:v>-96.592582628906825</c:v>
                </c:pt>
                <c:pt idx="18">
                  <c:v>-100</c:v>
                </c:pt>
                <c:pt idx="19">
                  <c:v>-96.59258262890684</c:v>
                </c:pt>
                <c:pt idx="20">
                  <c:v>-86.602540378443862</c:v>
                </c:pt>
                <c:pt idx="21">
                  <c:v>-70.710678118654769</c:v>
                </c:pt>
                <c:pt idx="22">
                  <c:v>-50.000000000000043</c:v>
                </c:pt>
                <c:pt idx="23">
                  <c:v>-25.881904510252067</c:v>
                </c:pt>
                <c:pt idx="24">
                  <c:v>-2.45029690981724E-14</c:v>
                </c:pt>
              </c:numCache>
            </c:numRef>
          </c:yVal>
          <c:smooth val="1"/>
          <c:extLst>
            <c:ext xmlns:c16="http://schemas.microsoft.com/office/drawing/2014/chart" uri="{C3380CC4-5D6E-409C-BE32-E72D297353CC}">
              <c16:uniqueId val="{0000003C-A4BD-6C4C-88C9-B139B3177669}"/>
            </c:ext>
          </c:extLst>
        </c:ser>
        <c:ser>
          <c:idx val="4"/>
          <c:order val="17"/>
          <c:spPr>
            <a:ln w="38100">
              <a:solidFill>
                <a:srgbClr val="0000D4"/>
              </a:solidFill>
              <a:prstDash val="solid"/>
            </a:ln>
          </c:spPr>
          <c:marker>
            <c:symbol val="none"/>
          </c:marker>
          <c:dPt>
            <c:idx val="0"/>
            <c:marker>
              <c:symbol val="circle"/>
              <c:size val="10"/>
              <c:spPr>
                <a:solidFill>
                  <a:srgbClr val="0000D4"/>
                </a:solidFill>
                <a:ln>
                  <a:solidFill>
                    <a:srgbClr val="0000D4"/>
                  </a:solidFill>
                  <a:prstDash val="solid"/>
                </a:ln>
              </c:spPr>
            </c:marker>
            <c:bubble3D val="0"/>
            <c:extLst>
              <c:ext xmlns:c16="http://schemas.microsoft.com/office/drawing/2014/chart" uri="{C3380CC4-5D6E-409C-BE32-E72D297353CC}">
                <c16:uniqueId val="{0000003E-A4BD-6C4C-88C9-B139B3177669}"/>
              </c:ext>
            </c:extLst>
          </c:dPt>
          <c:xVal>
            <c:numRef>
              <c:f>Calculations!$AQ$10:$AQ$11</c:f>
              <c:numCache>
                <c:formatCode>#,##0.00</c:formatCode>
                <c:ptCount val="2"/>
                <c:pt idx="0">
                  <c:v>0</c:v>
                </c:pt>
                <c:pt idx="1">
                  <c:v>-99.427663596986093</c:v>
                </c:pt>
              </c:numCache>
            </c:numRef>
          </c:xVal>
          <c:yVal>
            <c:numRef>
              <c:f>Calculations!$AR$10:$AR$11</c:f>
              <c:numCache>
                <c:formatCode>#,##0.00</c:formatCode>
                <c:ptCount val="2"/>
                <c:pt idx="0">
                  <c:v>0</c:v>
                </c:pt>
                <c:pt idx="1">
                  <c:v>33.751143856831952</c:v>
                </c:pt>
              </c:numCache>
            </c:numRef>
          </c:yVal>
          <c:smooth val="1"/>
          <c:extLst>
            <c:ext xmlns:c16="http://schemas.microsoft.com/office/drawing/2014/chart" uri="{C3380CC4-5D6E-409C-BE32-E72D297353CC}">
              <c16:uniqueId val="{0000003F-A4BD-6C4C-88C9-B139B3177669}"/>
            </c:ext>
          </c:extLst>
        </c:ser>
        <c:ser>
          <c:idx val="6"/>
          <c:order val="19"/>
          <c:spPr>
            <a:ln w="25400">
              <a:solidFill>
                <a:srgbClr val="006411"/>
              </a:solidFill>
              <a:prstDash val="solid"/>
            </a:ln>
          </c:spPr>
          <c:marker>
            <c:symbol val="none"/>
          </c:marker>
          <c:xVal>
            <c:numRef>
              <c:f>Calculations!$AG$10:$AG$82</c:f>
              <c:numCache>
                <c:formatCode>#,##0.00</c:formatCode>
                <c:ptCount val="73"/>
                <c:pt idx="0">
                  <c:v>114.99999999999999</c:v>
                </c:pt>
                <c:pt idx="1">
                  <c:v>114.56239028055073</c:v>
                </c:pt>
                <c:pt idx="2">
                  <c:v>113.25289159640391</c:v>
                </c:pt>
                <c:pt idx="3">
                  <c:v>111.08147002324284</c:v>
                </c:pt>
                <c:pt idx="4">
                  <c:v>108.06465139037945</c:v>
                </c:pt>
                <c:pt idx="5">
                  <c:v>104.22539550921474</c:v>
                </c:pt>
                <c:pt idx="6">
                  <c:v>99.592921435210442</c:v>
                </c:pt>
                <c:pt idx="7">
                  <c:v>94.202485093234046</c:v>
                </c:pt>
                <c:pt idx="8">
                  <c:v>88.095110958682454</c:v>
                </c:pt>
                <c:pt idx="9">
                  <c:v>81.317279836452954</c:v>
                </c:pt>
                <c:pt idx="10">
                  <c:v>73.920575113952012</c:v>
                </c:pt>
                <c:pt idx="11">
                  <c:v>65.961290180370298</c:v>
                </c:pt>
                <c:pt idx="12">
                  <c:v>57.500000000000007</c:v>
                </c:pt>
                <c:pt idx="13">
                  <c:v>48.601100100180432</c:v>
                </c:pt>
                <c:pt idx="14">
                  <c:v>39.332316482451908</c:v>
                </c:pt>
                <c:pt idx="15">
                  <c:v>29.764190186789882</c:v>
                </c:pt>
                <c:pt idx="16">
                  <c:v>19.969540431696995</c:v>
                </c:pt>
                <c:pt idx="17">
                  <c:v>10.022910415980684</c:v>
                </c:pt>
                <c:pt idx="18">
                  <c:v>7.0446036157245643E-15</c:v>
                </c:pt>
                <c:pt idx="19">
                  <c:v>-10.022910415980697</c:v>
                </c:pt>
                <c:pt idx="20">
                  <c:v>-19.969540431696981</c:v>
                </c:pt>
                <c:pt idx="21">
                  <c:v>-29.764190186789893</c:v>
                </c:pt>
                <c:pt idx="22">
                  <c:v>-39.332316482451894</c:v>
                </c:pt>
                <c:pt idx="23">
                  <c:v>-48.601100100180417</c:v>
                </c:pt>
                <c:pt idx="24">
                  <c:v>-57.499999999999964</c:v>
                </c:pt>
                <c:pt idx="25">
                  <c:v>-65.961290180370298</c:v>
                </c:pt>
                <c:pt idx="26">
                  <c:v>-73.920575113952012</c:v>
                </c:pt>
                <c:pt idx="27">
                  <c:v>-81.317279836452954</c:v>
                </c:pt>
                <c:pt idx="28">
                  <c:v>-88.095110958682454</c:v>
                </c:pt>
                <c:pt idx="29">
                  <c:v>-94.20248509323406</c:v>
                </c:pt>
                <c:pt idx="30">
                  <c:v>-99.592921435210442</c:v>
                </c:pt>
                <c:pt idx="31">
                  <c:v>-104.22539550921474</c:v>
                </c:pt>
                <c:pt idx="32">
                  <c:v>-108.06465139037944</c:v>
                </c:pt>
                <c:pt idx="33">
                  <c:v>-111.08147002324283</c:v>
                </c:pt>
                <c:pt idx="34">
                  <c:v>-113.25289159640391</c:v>
                </c:pt>
                <c:pt idx="35">
                  <c:v>-114.56239028055073</c:v>
                </c:pt>
                <c:pt idx="36">
                  <c:v>-114.99999999999999</c:v>
                </c:pt>
                <c:pt idx="37">
                  <c:v>-114.56239028055073</c:v>
                </c:pt>
                <c:pt idx="38">
                  <c:v>-113.25289159640391</c:v>
                </c:pt>
                <c:pt idx="39">
                  <c:v>-111.08147002324284</c:v>
                </c:pt>
                <c:pt idx="40">
                  <c:v>-108.06465139037945</c:v>
                </c:pt>
                <c:pt idx="41">
                  <c:v>-104.22539550921475</c:v>
                </c:pt>
                <c:pt idx="42">
                  <c:v>-99.592921435210428</c:v>
                </c:pt>
                <c:pt idx="43">
                  <c:v>-94.202485093234046</c:v>
                </c:pt>
                <c:pt idx="44">
                  <c:v>-88.095110958682454</c:v>
                </c:pt>
                <c:pt idx="45">
                  <c:v>-81.317279836452968</c:v>
                </c:pt>
                <c:pt idx="46">
                  <c:v>-73.920575113952026</c:v>
                </c:pt>
                <c:pt idx="47">
                  <c:v>-65.961290180370327</c:v>
                </c:pt>
                <c:pt idx="48">
                  <c:v>-57.500000000000043</c:v>
                </c:pt>
                <c:pt idx="49">
                  <c:v>-48.601100100180396</c:v>
                </c:pt>
                <c:pt idx="50">
                  <c:v>-39.33231648245188</c:v>
                </c:pt>
                <c:pt idx="51">
                  <c:v>-29.764190186789868</c:v>
                </c:pt>
                <c:pt idx="52">
                  <c:v>-19.969540431696984</c:v>
                </c:pt>
                <c:pt idx="53">
                  <c:v>-10.022910415980697</c:v>
                </c:pt>
                <c:pt idx="54">
                  <c:v>-2.1133810847173692E-14</c:v>
                </c:pt>
                <c:pt idx="55">
                  <c:v>10.022910415980656</c:v>
                </c:pt>
                <c:pt idx="56">
                  <c:v>19.969540431696945</c:v>
                </c:pt>
                <c:pt idx="57">
                  <c:v>29.764190186789829</c:v>
                </c:pt>
                <c:pt idx="58">
                  <c:v>39.33231648245193</c:v>
                </c:pt>
                <c:pt idx="59">
                  <c:v>48.601100100180446</c:v>
                </c:pt>
                <c:pt idx="60">
                  <c:v>57.500000000000007</c:v>
                </c:pt>
                <c:pt idx="61">
                  <c:v>65.961290180370284</c:v>
                </c:pt>
                <c:pt idx="62">
                  <c:v>73.920575113952012</c:v>
                </c:pt>
                <c:pt idx="63">
                  <c:v>81.31727983645294</c:v>
                </c:pt>
                <c:pt idx="64">
                  <c:v>88.09511095868244</c:v>
                </c:pt>
                <c:pt idx="65">
                  <c:v>94.202485093234017</c:v>
                </c:pt>
                <c:pt idx="66">
                  <c:v>99.5929214352104</c:v>
                </c:pt>
                <c:pt idx="67">
                  <c:v>104.22539550921475</c:v>
                </c:pt>
                <c:pt idx="68">
                  <c:v>108.06465139037945</c:v>
                </c:pt>
                <c:pt idx="69">
                  <c:v>111.08147002324284</c:v>
                </c:pt>
                <c:pt idx="70">
                  <c:v>113.25289159640391</c:v>
                </c:pt>
                <c:pt idx="71">
                  <c:v>114.56239028055073</c:v>
                </c:pt>
                <c:pt idx="72">
                  <c:v>114.99999999999999</c:v>
                </c:pt>
              </c:numCache>
            </c:numRef>
          </c:xVal>
          <c:yVal>
            <c:numRef>
              <c:f>Calculations!$AH$10:$AH$82</c:f>
              <c:numCache>
                <c:formatCode>#,##0.00</c:formatCode>
                <c:ptCount val="73"/>
                <c:pt idx="0">
                  <c:v>0</c:v>
                </c:pt>
                <c:pt idx="1">
                  <c:v>10.022910415980688</c:v>
                </c:pt>
                <c:pt idx="2">
                  <c:v>19.969540431696984</c:v>
                </c:pt>
                <c:pt idx="3">
                  <c:v>29.764190186789882</c:v>
                </c:pt>
                <c:pt idx="4">
                  <c:v>39.332316482451894</c:v>
                </c:pt>
                <c:pt idx="5">
                  <c:v>48.601100100180432</c:v>
                </c:pt>
                <c:pt idx="6">
                  <c:v>57.499999999999986</c:v>
                </c:pt>
                <c:pt idx="7">
                  <c:v>65.961290180370284</c:v>
                </c:pt>
                <c:pt idx="8">
                  <c:v>73.920575113952012</c:v>
                </c:pt>
                <c:pt idx="9">
                  <c:v>81.317279836452954</c:v>
                </c:pt>
                <c:pt idx="10">
                  <c:v>88.095110958682454</c:v>
                </c:pt>
                <c:pt idx="11">
                  <c:v>94.202485093234046</c:v>
                </c:pt>
                <c:pt idx="12">
                  <c:v>99.592921435210428</c:v>
                </c:pt>
                <c:pt idx="13">
                  <c:v>104.22539550921474</c:v>
                </c:pt>
                <c:pt idx="14">
                  <c:v>108.06465139037944</c:v>
                </c:pt>
                <c:pt idx="15">
                  <c:v>111.08147002324284</c:v>
                </c:pt>
                <c:pt idx="16">
                  <c:v>113.25289159640391</c:v>
                </c:pt>
                <c:pt idx="17">
                  <c:v>114.56239028055073</c:v>
                </c:pt>
                <c:pt idx="18">
                  <c:v>114.99999999999999</c:v>
                </c:pt>
                <c:pt idx="19">
                  <c:v>114.56239028055073</c:v>
                </c:pt>
                <c:pt idx="20">
                  <c:v>113.25289159640391</c:v>
                </c:pt>
                <c:pt idx="21">
                  <c:v>111.08147002324284</c:v>
                </c:pt>
                <c:pt idx="22">
                  <c:v>108.06465139037945</c:v>
                </c:pt>
                <c:pt idx="23">
                  <c:v>104.22539550921475</c:v>
                </c:pt>
                <c:pt idx="24">
                  <c:v>99.592921435210442</c:v>
                </c:pt>
                <c:pt idx="25">
                  <c:v>94.202485093234031</c:v>
                </c:pt>
                <c:pt idx="26">
                  <c:v>88.095110958682454</c:v>
                </c:pt>
                <c:pt idx="27">
                  <c:v>81.317279836452954</c:v>
                </c:pt>
                <c:pt idx="28">
                  <c:v>73.920575113952026</c:v>
                </c:pt>
                <c:pt idx="29">
                  <c:v>65.96129018037027</c:v>
                </c:pt>
                <c:pt idx="30">
                  <c:v>57.499999999999986</c:v>
                </c:pt>
                <c:pt idx="31">
                  <c:v>48.601100100180439</c:v>
                </c:pt>
                <c:pt idx="32">
                  <c:v>39.332316482451915</c:v>
                </c:pt>
                <c:pt idx="33">
                  <c:v>29.764190186789914</c:v>
                </c:pt>
                <c:pt idx="34">
                  <c:v>19.969540431696981</c:v>
                </c:pt>
                <c:pt idx="35">
                  <c:v>10.022910415980691</c:v>
                </c:pt>
                <c:pt idx="36">
                  <c:v>1.4089207231449129E-14</c:v>
                </c:pt>
                <c:pt idx="37">
                  <c:v>-10.022910415980663</c:v>
                </c:pt>
                <c:pt idx="38">
                  <c:v>-19.969540431697002</c:v>
                </c:pt>
                <c:pt idx="39">
                  <c:v>-29.764190186789889</c:v>
                </c:pt>
                <c:pt idx="40">
                  <c:v>-39.332316482451894</c:v>
                </c:pt>
                <c:pt idx="41">
                  <c:v>-48.60110010018041</c:v>
                </c:pt>
                <c:pt idx="42">
                  <c:v>-57.500000000000007</c:v>
                </c:pt>
                <c:pt idx="43">
                  <c:v>-65.961290180370298</c:v>
                </c:pt>
                <c:pt idx="44">
                  <c:v>-73.920575113952012</c:v>
                </c:pt>
                <c:pt idx="45">
                  <c:v>-81.317279836452954</c:v>
                </c:pt>
                <c:pt idx="46">
                  <c:v>-88.095110958682454</c:v>
                </c:pt>
                <c:pt idx="47">
                  <c:v>-94.202485093234017</c:v>
                </c:pt>
                <c:pt idx="48">
                  <c:v>-99.5929214352104</c:v>
                </c:pt>
                <c:pt idx="49">
                  <c:v>-104.22539550921475</c:v>
                </c:pt>
                <c:pt idx="50">
                  <c:v>-108.06465139037945</c:v>
                </c:pt>
                <c:pt idx="51">
                  <c:v>-111.08147002324284</c:v>
                </c:pt>
                <c:pt idx="52">
                  <c:v>-113.25289159640391</c:v>
                </c:pt>
                <c:pt idx="53">
                  <c:v>-114.56239028055073</c:v>
                </c:pt>
                <c:pt idx="54">
                  <c:v>-114.99999999999999</c:v>
                </c:pt>
                <c:pt idx="55">
                  <c:v>-114.56239028055073</c:v>
                </c:pt>
                <c:pt idx="56">
                  <c:v>-113.25289159640393</c:v>
                </c:pt>
                <c:pt idx="57">
                  <c:v>-111.08147002324286</c:v>
                </c:pt>
                <c:pt idx="58">
                  <c:v>-108.06465139037944</c:v>
                </c:pt>
                <c:pt idx="59">
                  <c:v>-104.22539550921474</c:v>
                </c:pt>
                <c:pt idx="60">
                  <c:v>-99.592921435210428</c:v>
                </c:pt>
                <c:pt idx="61">
                  <c:v>-94.202485093234046</c:v>
                </c:pt>
                <c:pt idx="62">
                  <c:v>-88.095110958682469</c:v>
                </c:pt>
                <c:pt idx="63">
                  <c:v>-81.317279836452968</c:v>
                </c:pt>
                <c:pt idx="64">
                  <c:v>-73.92057511395204</c:v>
                </c:pt>
                <c:pt idx="65">
                  <c:v>-65.961290180370341</c:v>
                </c:pt>
                <c:pt idx="66">
                  <c:v>-57.500000000000043</c:v>
                </c:pt>
                <c:pt idx="67">
                  <c:v>-48.601100100180403</c:v>
                </c:pt>
                <c:pt idx="68">
                  <c:v>-39.332316482451887</c:v>
                </c:pt>
                <c:pt idx="69">
                  <c:v>-29.764190186789875</c:v>
                </c:pt>
                <c:pt idx="70">
                  <c:v>-19.969540431696991</c:v>
                </c:pt>
                <c:pt idx="71">
                  <c:v>-10.022910415980705</c:v>
                </c:pt>
                <c:pt idx="72">
                  <c:v>-2.8178414462898257E-14</c:v>
                </c:pt>
              </c:numCache>
            </c:numRef>
          </c:yVal>
          <c:smooth val="0"/>
          <c:extLst>
            <c:ext xmlns:c16="http://schemas.microsoft.com/office/drawing/2014/chart" uri="{C3380CC4-5D6E-409C-BE32-E72D297353CC}">
              <c16:uniqueId val="{00000040-A4BD-6C4C-88C9-B139B3177669}"/>
            </c:ext>
          </c:extLst>
        </c:ser>
        <c:ser>
          <c:idx val="20"/>
          <c:order val="20"/>
          <c:spPr>
            <a:ln w="28575">
              <a:noFill/>
            </a:ln>
          </c:spPr>
          <c:marker>
            <c:symbol val="circle"/>
            <c:size val="7"/>
            <c:spPr>
              <a:solidFill>
                <a:srgbClr val="006411"/>
              </a:solidFill>
              <a:ln>
                <a:solidFill>
                  <a:srgbClr val="006411"/>
                </a:solidFill>
                <a:prstDash val="solid"/>
              </a:ln>
            </c:spPr>
          </c:marker>
          <c:dPt>
            <c:idx val="0"/>
            <c:marker>
              <c:spPr>
                <a:solidFill>
                  <a:srgbClr val="993366"/>
                </a:solidFill>
                <a:ln>
                  <a:solidFill>
                    <a:srgbClr val="993366"/>
                  </a:solidFill>
                  <a:prstDash val="solid"/>
                </a:ln>
              </c:spPr>
            </c:marker>
            <c:bubble3D val="0"/>
            <c:extLst>
              <c:ext xmlns:c16="http://schemas.microsoft.com/office/drawing/2014/chart" uri="{C3380CC4-5D6E-409C-BE32-E72D297353CC}">
                <c16:uniqueId val="{00000042-A4BD-6C4C-88C9-B139B3177669}"/>
              </c:ext>
            </c:extLst>
          </c:dPt>
          <c:xVal>
            <c:numRef>
              <c:f>Calculations!$AM$10:$AM$34</c:f>
              <c:numCache>
                <c:formatCode>#,##0.00</c:formatCode>
                <c:ptCount val="25"/>
                <c:pt idx="0">
                  <c:v>112.04868772574497</c:v>
                </c:pt>
                <c:pt idx="1">
                  <c:v>101.53089856516806</c:v>
                </c:pt>
                <c:pt idx="2">
                  <c:v>84.093946455118086</c:v>
                </c:pt>
                <c:pt idx="3">
                  <c:v>60.926130865969142</c:v>
                </c:pt>
                <c:pt idx="4">
                  <c:v>33.606300143496206</c:v>
                </c:pt>
                <c:pt idx="5">
                  <c:v>3.9962556032809284</c:v>
                </c:pt>
                <c:pt idx="6">
                  <c:v>-25.886127152173358</c:v>
                </c:pt>
                <c:pt idx="7">
                  <c:v>-54.004413121054803</c:v>
                </c:pt>
                <c:pt idx="8">
                  <c:v>-78.442387582248728</c:v>
                </c:pt>
                <c:pt idx="9">
                  <c:v>-97.534642961887158</c:v>
                </c:pt>
                <c:pt idx="10">
                  <c:v>-109.98007360729144</c:v>
                </c:pt>
                <c:pt idx="11">
                  <c:v>-114.93054398702394</c:v>
                </c:pt>
                <c:pt idx="12">
                  <c:v>-112.04868772574495</c:v>
                </c:pt>
                <c:pt idx="13">
                  <c:v>-101.53089856516803</c:v>
                </c:pt>
                <c:pt idx="14">
                  <c:v>-84.093946455118086</c:v>
                </c:pt>
                <c:pt idx="15">
                  <c:v>-60.926130865969107</c:v>
                </c:pt>
                <c:pt idx="16">
                  <c:v>-33.60630014349622</c:v>
                </c:pt>
                <c:pt idx="17">
                  <c:v>-3.9962556032809426</c:v>
                </c:pt>
                <c:pt idx="18">
                  <c:v>25.886127152173394</c:v>
                </c:pt>
                <c:pt idx="19">
                  <c:v>54.004413121054789</c:v>
                </c:pt>
                <c:pt idx="20">
                  <c:v>78.442387582248713</c:v>
                </c:pt>
                <c:pt idx="21">
                  <c:v>97.534642961887144</c:v>
                </c:pt>
                <c:pt idx="22">
                  <c:v>109.98007360729143</c:v>
                </c:pt>
                <c:pt idx="23">
                  <c:v>114.93054398702394</c:v>
                </c:pt>
                <c:pt idx="24">
                  <c:v>112.04868772574497</c:v>
                </c:pt>
              </c:numCache>
            </c:numRef>
          </c:xVal>
          <c:yVal>
            <c:numRef>
              <c:f>Calculations!$AN$10:$AN$34</c:f>
              <c:numCache>
                <c:formatCode>#,##0.00</c:formatCode>
                <c:ptCount val="25"/>
                <c:pt idx="0">
                  <c:v>-25.886127152173341</c:v>
                </c:pt>
                <c:pt idx="1">
                  <c:v>-54.00441312105476</c:v>
                </c:pt>
                <c:pt idx="2">
                  <c:v>-78.442387582248728</c:v>
                </c:pt>
                <c:pt idx="3">
                  <c:v>-97.53464296188713</c:v>
                </c:pt>
                <c:pt idx="4">
                  <c:v>-109.98007360729144</c:v>
                </c:pt>
                <c:pt idx="5">
                  <c:v>-114.93054398702394</c:v>
                </c:pt>
                <c:pt idx="6">
                  <c:v>-112.04868772574497</c:v>
                </c:pt>
                <c:pt idx="7">
                  <c:v>-101.53089856516803</c:v>
                </c:pt>
                <c:pt idx="8">
                  <c:v>-84.093946455118086</c:v>
                </c:pt>
                <c:pt idx="9">
                  <c:v>-60.926130865969107</c:v>
                </c:pt>
                <c:pt idx="10">
                  <c:v>-33.606300143496213</c:v>
                </c:pt>
                <c:pt idx="11">
                  <c:v>-3.9962556032809355</c:v>
                </c:pt>
                <c:pt idx="12">
                  <c:v>25.886127152173401</c:v>
                </c:pt>
                <c:pt idx="13">
                  <c:v>54.004413121054796</c:v>
                </c:pt>
                <c:pt idx="14">
                  <c:v>78.442387582248713</c:v>
                </c:pt>
                <c:pt idx="15">
                  <c:v>97.534642961887144</c:v>
                </c:pt>
                <c:pt idx="16">
                  <c:v>109.98007360729143</c:v>
                </c:pt>
                <c:pt idx="17">
                  <c:v>114.93054398702394</c:v>
                </c:pt>
                <c:pt idx="18">
                  <c:v>112.04868772574495</c:v>
                </c:pt>
                <c:pt idx="19">
                  <c:v>101.53089856516804</c:v>
                </c:pt>
                <c:pt idx="20">
                  <c:v>84.0939464551181</c:v>
                </c:pt>
                <c:pt idx="21">
                  <c:v>60.926130865969121</c:v>
                </c:pt>
                <c:pt idx="22">
                  <c:v>33.606300143496235</c:v>
                </c:pt>
                <c:pt idx="23">
                  <c:v>3.9962556032809502</c:v>
                </c:pt>
                <c:pt idx="24">
                  <c:v>-25.886127152173387</c:v>
                </c:pt>
              </c:numCache>
            </c:numRef>
          </c:yVal>
          <c:smooth val="1"/>
          <c:extLst>
            <c:ext xmlns:c16="http://schemas.microsoft.com/office/drawing/2014/chart" uri="{C3380CC4-5D6E-409C-BE32-E72D297353CC}">
              <c16:uniqueId val="{00000043-A4BD-6C4C-88C9-B139B3177669}"/>
            </c:ext>
          </c:extLst>
        </c:ser>
        <c:ser>
          <c:idx val="21"/>
          <c:order val="21"/>
          <c:spPr>
            <a:ln w="38100">
              <a:solidFill>
                <a:srgbClr val="FFFFFF"/>
              </a:solidFill>
              <a:prstDash val="solid"/>
            </a:ln>
          </c:spPr>
          <c:marker>
            <c:symbol val="none"/>
          </c:marker>
          <c:xVal>
            <c:numRef>
              <c:f>Calculations!$BA$10:$BA$375</c:f>
              <c:numCache>
                <c:formatCode>#,##0.00</c:formatCode>
                <c:ptCount val="366"/>
                <c:pt idx="0">
                  <c:v>-75.706610288227324</c:v>
                </c:pt>
                <c:pt idx="1">
                  <c:v>-75.524360014958091</c:v>
                </c:pt>
                <c:pt idx="2">
                  <c:v>-75.054289850245226</c:v>
                </c:pt>
                <c:pt idx="3">
                  <c:v>-74.055352398665846</c:v>
                </c:pt>
                <c:pt idx="4">
                  <c:v>-72.535150177401391</c:v>
                </c:pt>
                <c:pt idx="5">
                  <c:v>-70.505252843278896</c:v>
                </c:pt>
                <c:pt idx="6">
                  <c:v>-67.98110914069656</c:v>
                </c:pt>
                <c:pt idx="7">
                  <c:v>-64.981929327350656</c:v>
                </c:pt>
                <c:pt idx="8">
                  <c:v>-61.53053897257503</c:v>
                </c:pt>
                <c:pt idx="9">
                  <c:v>-57.653205240975986</c:v>
                </c:pt>
                <c:pt idx="10">
                  <c:v>-53.379436983449168</c:v>
                </c:pt>
                <c:pt idx="11">
                  <c:v>-48.741760157006141</c:v>
                </c:pt>
                <c:pt idx="12">
                  <c:v>-43.775470282601965</c:v>
                </c:pt>
                <c:pt idx="13">
                  <c:v>-38.518363824908661</c:v>
                </c:pt>
                <c:pt idx="14">
                  <c:v>-33.010450538396981</c:v>
                </c:pt>
                <c:pt idx="15">
                  <c:v>-27.29364896894624</c:v>
                </c:pt>
                <c:pt idx="16">
                  <c:v>-21.411467428399096</c:v>
                </c:pt>
                <c:pt idx="17">
                  <c:v>-15.408672870037472</c:v>
                </c:pt>
                <c:pt idx="18">
                  <c:v>-9.3309501850369365</c:v>
                </c:pt>
                <c:pt idx="19">
                  <c:v>-3.2245545128596209</c:v>
                </c:pt>
                <c:pt idx="20">
                  <c:v>2.8640407882866548</c:v>
                </c:pt>
                <c:pt idx="21">
                  <c:v>8.8884978317658394</c:v>
                </c:pt>
                <c:pt idx="22">
                  <c:v>14.802966861810408</c:v>
                </c:pt>
                <c:pt idx="23">
                  <c:v>20.562435197847709</c:v>
                </c:pt>
                <c:pt idx="24">
                  <c:v>26.123069808178403</c:v>
                </c:pt>
                <c:pt idx="25">
                  <c:v>31.442550905814926</c:v>
                </c:pt>
                <c:pt idx="26">
                  <c:v>36.480394027613734</c:v>
                </c:pt>
                <c:pt idx="27">
                  <c:v>41.198258145485099</c:v>
                </c:pt>
                <c:pt idx="28">
                  <c:v>45.560237464767788</c:v>
                </c:pt>
                <c:pt idx="29">
                  <c:v>49.533134689006928</c:v>
                </c:pt>
                <c:pt idx="30">
                  <c:v>53.086713671425116</c:v>
                </c:pt>
                <c:pt idx="31">
                  <c:v>56.193929530256511</c:v>
                </c:pt>
                <c:pt idx="32">
                  <c:v>58.831134476627184</c:v>
                </c:pt>
                <c:pt idx="33">
                  <c:v>60.978257788507335</c:v>
                </c:pt>
                <c:pt idx="34">
                  <c:v>62.618958561025082</c:v>
                </c:pt>
                <c:pt idx="35">
                  <c:v>63.740750070619328</c:v>
                </c:pt>
                <c:pt idx="36">
                  <c:v>64.335094806545868</c:v>
                </c:pt>
                <c:pt idx="37">
                  <c:v>64.397469446489083</c:v>
                </c:pt>
                <c:pt idx="38">
                  <c:v>63.927399281776218</c:v>
                </c:pt>
                <c:pt idx="39">
                  <c:v>62.928461830196838</c:v>
                </c:pt>
                <c:pt idx="40">
                  <c:v>61.408259608932383</c:v>
                </c:pt>
                <c:pt idx="41">
                  <c:v>59.378362274809888</c:v>
                </c:pt>
                <c:pt idx="42">
                  <c:v>56.854218572227552</c:v>
                </c:pt>
                <c:pt idx="43">
                  <c:v>53.855038758881633</c:v>
                </c:pt>
                <c:pt idx="44">
                  <c:v>50.403648404106015</c:v>
                </c:pt>
                <c:pt idx="45">
                  <c:v>46.526314672506999</c:v>
                </c:pt>
                <c:pt idx="46">
                  <c:v>42.252546414980166</c:v>
                </c:pt>
                <c:pt idx="47">
                  <c:v>37.614869588537132</c:v>
                </c:pt>
                <c:pt idx="48">
                  <c:v>32.64857971413295</c:v>
                </c:pt>
                <c:pt idx="49">
                  <c:v>27.391473256439674</c:v>
                </c:pt>
                <c:pt idx="50">
                  <c:v>21.883559969927983</c:v>
                </c:pt>
                <c:pt idx="51">
                  <c:v>16.166758400477242</c:v>
                </c:pt>
                <c:pt idx="52">
                  <c:v>10.284576859930096</c:v>
                </c:pt>
                <c:pt idx="53">
                  <c:v>4.2817823015684713</c:v>
                </c:pt>
                <c:pt idx="54">
                  <c:v>-1.7959403834320797</c:v>
                </c:pt>
                <c:pt idx="55">
                  <c:v>-7.9023360556093785</c:v>
                </c:pt>
                <c:pt idx="56">
                  <c:v>-13.99093135675567</c:v>
                </c:pt>
                <c:pt idx="57">
                  <c:v>-20.015388400234841</c:v>
                </c:pt>
                <c:pt idx="58">
                  <c:v>-25.929857430279426</c:v>
                </c:pt>
                <c:pt idx="59">
                  <c:v>-31.68932576631671</c:v>
                </c:pt>
                <c:pt idx="60">
                  <c:v>-37.249960376647401</c:v>
                </c:pt>
                <c:pt idx="61">
                  <c:v>-42.569441474283913</c:v>
                </c:pt>
                <c:pt idx="62">
                  <c:v>-47.607284596082742</c:v>
                </c:pt>
                <c:pt idx="63">
                  <c:v>-52.325148713954107</c:v>
                </c:pt>
                <c:pt idx="64">
                  <c:v>-56.687128033236789</c:v>
                </c:pt>
                <c:pt idx="65">
                  <c:v>-60.660025257475922</c:v>
                </c:pt>
                <c:pt idx="66">
                  <c:v>-64.213604239894138</c:v>
                </c:pt>
                <c:pt idx="67">
                  <c:v>-67.320820098725534</c:v>
                </c:pt>
                <c:pt idx="68">
                  <c:v>-69.958025045096178</c:v>
                </c:pt>
                <c:pt idx="69">
                  <c:v>-72.105148356976343</c:v>
                </c:pt>
                <c:pt idx="70">
                  <c:v>-73.74584912949409</c:v>
                </c:pt>
                <c:pt idx="71">
                  <c:v>-74.86764063908835</c:v>
                </c:pt>
                <c:pt idx="72">
                  <c:v>-75.461985375014876</c:v>
                </c:pt>
                <c:pt idx="73">
                  <c:v>-75.524360014958091</c:v>
                </c:pt>
              </c:numCache>
            </c:numRef>
          </c:xVal>
          <c:yVal>
            <c:numRef>
              <c:f>Calculations!$BB$10:$BB$375</c:f>
              <c:numCache>
                <c:formatCode>#,##0.00</c:formatCode>
                <c:ptCount val="366"/>
                <c:pt idx="0">
                  <c:v>25.698931286448616</c:v>
                </c:pt>
                <c:pt idx="1">
                  <c:v>31.818512149020307</c:v>
                </c:pt>
                <c:pt idx="2">
                  <c:v>37.907107450166585</c:v>
                </c:pt>
                <c:pt idx="3">
                  <c:v>43.931564493645752</c:v>
                </c:pt>
                <c:pt idx="4">
                  <c:v>49.846033523690352</c:v>
                </c:pt>
                <c:pt idx="5">
                  <c:v>55.605501859727639</c:v>
                </c:pt>
                <c:pt idx="6">
                  <c:v>61.166136470058333</c:v>
                </c:pt>
                <c:pt idx="7">
                  <c:v>66.485617567694831</c:v>
                </c:pt>
                <c:pt idx="8">
                  <c:v>71.523460689493646</c:v>
                </c:pt>
                <c:pt idx="9">
                  <c:v>76.241324807365032</c:v>
                </c:pt>
                <c:pt idx="10">
                  <c:v>80.603304126647714</c:v>
                </c:pt>
                <c:pt idx="11">
                  <c:v>84.576201350886848</c:v>
                </c:pt>
                <c:pt idx="12">
                  <c:v>88.129780333305035</c:v>
                </c:pt>
                <c:pt idx="13">
                  <c:v>91.236996192136445</c:v>
                </c:pt>
                <c:pt idx="14">
                  <c:v>93.874201138507104</c:v>
                </c:pt>
                <c:pt idx="15">
                  <c:v>96.021324450387255</c:v>
                </c:pt>
                <c:pt idx="16">
                  <c:v>97.662025222905001</c:v>
                </c:pt>
                <c:pt idx="17">
                  <c:v>98.783816732499261</c:v>
                </c:pt>
                <c:pt idx="18">
                  <c:v>99.378161468425787</c:v>
                </c:pt>
                <c:pt idx="19">
                  <c:v>99.440536108369002</c:v>
                </c:pt>
                <c:pt idx="20">
                  <c:v>98.970465943656137</c:v>
                </c:pt>
                <c:pt idx="21">
                  <c:v>97.971528492076757</c:v>
                </c:pt>
                <c:pt idx="22">
                  <c:v>96.451326270812316</c:v>
                </c:pt>
                <c:pt idx="23">
                  <c:v>94.421428936689807</c:v>
                </c:pt>
                <c:pt idx="24">
                  <c:v>91.897285234107471</c:v>
                </c:pt>
                <c:pt idx="25">
                  <c:v>88.898105420761553</c:v>
                </c:pt>
                <c:pt idx="26">
                  <c:v>85.446715065985941</c:v>
                </c:pt>
                <c:pt idx="27">
                  <c:v>81.569381334386918</c:v>
                </c:pt>
                <c:pt idx="28">
                  <c:v>77.295613076860079</c:v>
                </c:pt>
                <c:pt idx="29">
                  <c:v>72.657936250417052</c:v>
                </c:pt>
                <c:pt idx="30">
                  <c:v>67.691646376012869</c:v>
                </c:pt>
                <c:pt idx="31">
                  <c:v>62.434539918319587</c:v>
                </c:pt>
                <c:pt idx="32">
                  <c:v>56.926626631807906</c:v>
                </c:pt>
                <c:pt idx="33">
                  <c:v>51.209825062357154</c:v>
                </c:pt>
                <c:pt idx="34">
                  <c:v>45.327643521810018</c:v>
                </c:pt>
                <c:pt idx="35">
                  <c:v>39.324848963448389</c:v>
                </c:pt>
                <c:pt idx="36">
                  <c:v>33.247126278447844</c:v>
                </c:pt>
                <c:pt idx="37">
                  <c:v>27.140730606270537</c:v>
                </c:pt>
                <c:pt idx="38">
                  <c:v>21.052135305124256</c:v>
                </c:pt>
                <c:pt idx="39">
                  <c:v>15.027678261645079</c:v>
                </c:pt>
                <c:pt idx="40">
                  <c:v>9.1132092316005</c:v>
                </c:pt>
                <c:pt idx="41">
                  <c:v>3.3537408955632131</c:v>
                </c:pt>
                <c:pt idx="42">
                  <c:v>-2.2068937147674887</c:v>
                </c:pt>
                <c:pt idx="43">
                  <c:v>-7.5263748124040042</c:v>
                </c:pt>
                <c:pt idx="44">
                  <c:v>-12.564217934202812</c:v>
                </c:pt>
                <c:pt idx="45">
                  <c:v>-17.282082052074184</c:v>
                </c:pt>
                <c:pt idx="46">
                  <c:v>-21.644061371356866</c:v>
                </c:pt>
                <c:pt idx="47">
                  <c:v>-25.616958595596007</c:v>
                </c:pt>
                <c:pt idx="48">
                  <c:v>-29.170537578014201</c:v>
                </c:pt>
                <c:pt idx="49">
                  <c:v>-32.2777534368456</c:v>
                </c:pt>
                <c:pt idx="50">
                  <c:v>-34.914958383216273</c:v>
                </c:pt>
                <c:pt idx="51">
                  <c:v>-37.062081695096424</c:v>
                </c:pt>
                <c:pt idx="52">
                  <c:v>-38.702782467614171</c:v>
                </c:pt>
                <c:pt idx="53">
                  <c:v>-39.824573977208416</c:v>
                </c:pt>
                <c:pt idx="54">
                  <c:v>-40.418918713134957</c:v>
                </c:pt>
                <c:pt idx="55">
                  <c:v>-40.481293353078172</c:v>
                </c:pt>
                <c:pt idx="56">
                  <c:v>-40.011223188365307</c:v>
                </c:pt>
                <c:pt idx="57">
                  <c:v>-39.012285736785927</c:v>
                </c:pt>
                <c:pt idx="58">
                  <c:v>-37.492083515521472</c:v>
                </c:pt>
                <c:pt idx="59">
                  <c:v>-35.462186181398977</c:v>
                </c:pt>
                <c:pt idx="60">
                  <c:v>-32.938042478816641</c:v>
                </c:pt>
                <c:pt idx="61">
                  <c:v>-29.938862665470733</c:v>
                </c:pt>
                <c:pt idx="62">
                  <c:v>-26.487472310695093</c:v>
                </c:pt>
                <c:pt idx="63">
                  <c:v>-22.610138579096084</c:v>
                </c:pt>
                <c:pt idx="64">
                  <c:v>-18.336370321569252</c:v>
                </c:pt>
                <c:pt idx="65">
                  <c:v>-13.698693495126225</c:v>
                </c:pt>
                <c:pt idx="66">
                  <c:v>-8.7324036207220281</c:v>
                </c:pt>
                <c:pt idx="67">
                  <c:v>-3.4752971630287455</c:v>
                </c:pt>
                <c:pt idx="68">
                  <c:v>2.0326161234829279</c:v>
                </c:pt>
                <c:pt idx="69">
                  <c:v>7.7494176929336689</c:v>
                </c:pt>
                <c:pt idx="70">
                  <c:v>13.631599233480829</c:v>
                </c:pt>
                <c:pt idx="71">
                  <c:v>19.634393791842452</c:v>
                </c:pt>
                <c:pt idx="72">
                  <c:v>25.71211647684299</c:v>
                </c:pt>
                <c:pt idx="73">
                  <c:v>31.81851214902029</c:v>
                </c:pt>
              </c:numCache>
            </c:numRef>
          </c:yVal>
          <c:smooth val="0"/>
          <c:extLst>
            <c:ext xmlns:c16="http://schemas.microsoft.com/office/drawing/2014/chart" uri="{C3380CC4-5D6E-409C-BE32-E72D297353CC}">
              <c16:uniqueId val="{00000044-A4BD-6C4C-88C9-B139B3177669}"/>
            </c:ext>
          </c:extLst>
        </c:ser>
        <c:ser>
          <c:idx val="24"/>
          <c:order val="22"/>
          <c:spPr>
            <a:ln w="38100">
              <a:solidFill>
                <a:srgbClr val="666699"/>
              </a:solidFill>
              <a:prstDash val="solid"/>
            </a:ln>
          </c:spPr>
          <c:marker>
            <c:symbol val="circle"/>
            <c:size val="25"/>
            <c:spPr>
              <a:solidFill>
                <a:srgbClr val="666699"/>
              </a:solidFill>
              <a:ln>
                <a:solidFill>
                  <a:srgbClr val="666699"/>
                </a:solidFill>
                <a:prstDash val="solid"/>
              </a:ln>
            </c:spPr>
          </c:marker>
          <c:xVal>
            <c:numRef>
              <c:f>Calculations!$BC$9:$BC$83</c:f>
              <c:numCache>
                <c:formatCode>#,##0.00</c:formatCode>
                <c:ptCount val="75"/>
                <c:pt idx="2">
                  <c:v>-63.531060346834046</c:v>
                </c:pt>
                <c:pt idx="3">
                  <c:v>-63.141573638929096</c:v>
                </c:pt>
                <c:pt idx="4">
                  <c:v>-62.313882607620464</c:v>
                </c:pt>
                <c:pt idx="5">
                  <c:v>-61.054286481429919</c:v>
                </c:pt>
                <c:pt idx="6">
                  <c:v>-59.372371547442704</c:v>
                </c:pt>
                <c:pt idx="7">
                  <c:v>-57.280938193874476</c:v>
                </c:pt>
                <c:pt idx="8">
                  <c:v>-54.795903491387875</c:v>
                </c:pt>
                <c:pt idx="9">
                  <c:v>-51.936180054573789</c:v>
                </c:pt>
                <c:pt idx="10">
                  <c:v>-48.723532105534588</c:v>
                </c:pt>
                <c:pt idx="11">
                  <c:v>-45.182409835012365</c:v>
                </c:pt>
                <c:pt idx="12">
                  <c:v>-41.339763321673857</c:v>
                </c:pt>
                <c:pt idx="13">
                  <c:v>-37.224837425738968</c:v>
                </c:pt>
                <c:pt idx="14">
                  <c:v>-32.868949217935949</c:v>
                </c:pt>
                <c:pt idx="15">
                  <c:v>-28.305249637683414</c:v>
                </c:pt>
                <c:pt idx="16">
                  <c:v>-23.568471194424227</c:v>
                </c:pt>
                <c:pt idx="17">
                  <c:v>-18.694663632256592</c:v>
                </c:pt>
                <c:pt idx="18">
                  <c:v>-13.720919569614106</c:v>
                </c:pt>
                <c:pt idx="19">
                  <c:v>-8.6850922020422328</c:v>
                </c:pt>
                <c:pt idx="20">
                  <c:v>-3.6255072165238866</c:v>
                </c:pt>
                <c:pt idx="21">
                  <c:v>1.4193288901401697</c:v>
                </c:pt>
                <c:pt idx="22">
                  <c:v>6.4110218690229228</c:v>
                </c:pt>
                <c:pt idx="23">
                  <c:v>11.311581922488422</c:v>
                </c:pt>
                <c:pt idx="24">
                  <c:v>16.083712829490757</c:v>
                </c:pt>
                <c:pt idx="25">
                  <c:v>20.691095792336185</c:v>
                </c:pt>
                <c:pt idx="26">
                  <c:v>25.098665844663593</c:v>
                </c:pt>
                <c:pt idx="27">
                  <c:v>29.272878717011174</c:v>
                </c:pt>
                <c:pt idx="28">
                  <c:v>33.181966128961733</c:v>
                </c:pt>
                <c:pt idx="29">
                  <c:v>36.796177564938816</c:v>
                </c:pt>
                <c:pt idx="30">
                  <c:v>40.088006693594103</c:v>
                </c:pt>
                <c:pt idx="31">
                  <c:v>43.032400707597752</c:v>
                </c:pt>
                <c:pt idx="32">
                  <c:v>45.606950990629478</c:v>
                </c:pt>
                <c:pt idx="33">
                  <c:v>47.792063660479457</c:v>
                </c:pt>
                <c:pt idx="34">
                  <c:v>49.571108690323008</c:v>
                </c:pt>
                <c:pt idx="35">
                  <c:v>50.930546473266283</c:v>
                </c:pt>
                <c:pt idx="36">
                  <c:v>51.860030866930096</c:v>
                </c:pt>
                <c:pt idx="37">
                  <c:v>52.352487933840649</c:v>
                </c:pt>
                <c:pt idx="38">
                  <c:v>52.404169778365038</c:v>
                </c:pt>
                <c:pt idx="39">
                  <c:v>52.014683070460087</c:v>
                </c:pt>
                <c:pt idx="40">
                  <c:v>51.186992039151455</c:v>
                </c:pt>
                <c:pt idx="41">
                  <c:v>49.927395912960911</c:v>
                </c:pt>
                <c:pt idx="42">
                  <c:v>48.245480978973703</c:v>
                </c:pt>
                <c:pt idx="43">
                  <c:v>46.154047625405475</c:v>
                </c:pt>
                <c:pt idx="44">
                  <c:v>43.66901292291886</c:v>
                </c:pt>
                <c:pt idx="45">
                  <c:v>40.809289486104774</c:v>
                </c:pt>
                <c:pt idx="46">
                  <c:v>37.596641537065594</c:v>
                </c:pt>
                <c:pt idx="47">
                  <c:v>34.055519266543357</c:v>
                </c:pt>
                <c:pt idx="48">
                  <c:v>30.212872753204849</c:v>
                </c:pt>
                <c:pt idx="49">
                  <c:v>26.097946857269957</c:v>
                </c:pt>
                <c:pt idx="50">
                  <c:v>21.742058649466955</c:v>
                </c:pt>
                <c:pt idx="51">
                  <c:v>17.178359069214409</c:v>
                </c:pt>
                <c:pt idx="52">
                  <c:v>12.441580625955226</c:v>
                </c:pt>
                <c:pt idx="53">
                  <c:v>7.5677730637875911</c:v>
                </c:pt>
                <c:pt idx="54">
                  <c:v>2.5940290011451026</c:v>
                </c:pt>
                <c:pt idx="55">
                  <c:v>-2.4417983664267813</c:v>
                </c:pt>
                <c:pt idx="56">
                  <c:v>-7.5013833519451136</c:v>
                </c:pt>
                <c:pt idx="57">
                  <c:v>-12.546219458609183</c:v>
                </c:pt>
                <c:pt idx="58">
                  <c:v>-17.537912437491926</c:v>
                </c:pt>
                <c:pt idx="59">
                  <c:v>-22.438472490957437</c:v>
                </c:pt>
                <c:pt idx="60">
                  <c:v>-27.210603397959758</c:v>
                </c:pt>
                <c:pt idx="61">
                  <c:v>-31.81798636080519</c:v>
                </c:pt>
                <c:pt idx="62">
                  <c:v>-36.22555641313258</c:v>
                </c:pt>
                <c:pt idx="63">
                  <c:v>-40.399769285480183</c:v>
                </c:pt>
                <c:pt idx="64">
                  <c:v>-44.308856697430741</c:v>
                </c:pt>
                <c:pt idx="65">
                  <c:v>-47.923068133407817</c:v>
                </c:pt>
                <c:pt idx="66">
                  <c:v>-51.214897262063097</c:v>
                </c:pt>
                <c:pt idx="67">
                  <c:v>-54.159291276066767</c:v>
                </c:pt>
                <c:pt idx="68">
                  <c:v>-56.733841559098494</c:v>
                </c:pt>
                <c:pt idx="69">
                  <c:v>-58.918954228948458</c:v>
                </c:pt>
                <c:pt idx="70">
                  <c:v>-60.697999258792017</c:v>
                </c:pt>
                <c:pt idx="71">
                  <c:v>-62.057437041735291</c:v>
                </c:pt>
                <c:pt idx="72">
                  <c:v>-62.986921435399111</c:v>
                </c:pt>
                <c:pt idx="73">
                  <c:v>-63.479378502309658</c:v>
                </c:pt>
                <c:pt idx="74">
                  <c:v>-63.531060346834046</c:v>
                </c:pt>
              </c:numCache>
            </c:numRef>
          </c:xVal>
          <c:yVal>
            <c:numRef>
              <c:f>Calculations!$BD$9:$BD$783</c:f>
              <c:numCache>
                <c:formatCode>#,##0.00</c:formatCode>
                <c:ptCount val="775"/>
                <c:pt idx="2">
                  <c:v>31.417559445356041</c:v>
                </c:pt>
                <c:pt idx="3">
                  <c:v>36.462395552020098</c:v>
                </c:pt>
                <c:pt idx="4">
                  <c:v>41.454088530902837</c:v>
                </c:pt>
                <c:pt idx="5">
                  <c:v>46.354648584368363</c:v>
                </c:pt>
                <c:pt idx="6">
                  <c:v>51.126779491370684</c:v>
                </c:pt>
                <c:pt idx="7">
                  <c:v>55.734162454216111</c:v>
                </c:pt>
                <c:pt idx="8">
                  <c:v>60.141732506543505</c:v>
                </c:pt>
                <c:pt idx="9">
                  <c:v>64.315945378891087</c:v>
                </c:pt>
                <c:pt idx="10">
                  <c:v>68.225032790841666</c:v>
                </c:pt>
                <c:pt idx="11">
                  <c:v>71.839244226818735</c:v>
                </c:pt>
                <c:pt idx="12">
                  <c:v>75.131073355474015</c:v>
                </c:pt>
                <c:pt idx="13">
                  <c:v>78.075467369477664</c:v>
                </c:pt>
                <c:pt idx="14">
                  <c:v>80.650017652509405</c:v>
                </c:pt>
                <c:pt idx="15">
                  <c:v>82.835130322359376</c:v>
                </c:pt>
                <c:pt idx="16">
                  <c:v>84.614175352202935</c:v>
                </c:pt>
                <c:pt idx="17">
                  <c:v>85.973613135146209</c:v>
                </c:pt>
                <c:pt idx="18">
                  <c:v>86.903097528810022</c:v>
                </c:pt>
                <c:pt idx="19">
                  <c:v>87.395554595720569</c:v>
                </c:pt>
                <c:pt idx="20">
                  <c:v>87.447236440244964</c:v>
                </c:pt>
                <c:pt idx="21">
                  <c:v>87.057749732340014</c:v>
                </c:pt>
                <c:pt idx="22">
                  <c:v>86.230058701031382</c:v>
                </c:pt>
                <c:pt idx="23">
                  <c:v>84.970462574840838</c:v>
                </c:pt>
                <c:pt idx="24">
                  <c:v>83.288547640853622</c:v>
                </c:pt>
                <c:pt idx="25">
                  <c:v>81.197114287285387</c:v>
                </c:pt>
                <c:pt idx="26">
                  <c:v>78.712079584798786</c:v>
                </c:pt>
                <c:pt idx="27">
                  <c:v>75.852356147984693</c:v>
                </c:pt>
                <c:pt idx="28">
                  <c:v>72.639708198945513</c:v>
                </c:pt>
                <c:pt idx="29">
                  <c:v>69.098585928423276</c:v>
                </c:pt>
                <c:pt idx="30">
                  <c:v>65.255939415084768</c:v>
                </c:pt>
                <c:pt idx="31">
                  <c:v>61.14101351914988</c:v>
                </c:pt>
                <c:pt idx="32">
                  <c:v>56.785125311346874</c:v>
                </c:pt>
                <c:pt idx="33">
                  <c:v>52.221425731094328</c:v>
                </c:pt>
                <c:pt idx="34">
                  <c:v>47.484647287835145</c:v>
                </c:pt>
                <c:pt idx="35">
                  <c:v>42.610839725667518</c:v>
                </c:pt>
                <c:pt idx="36">
                  <c:v>37.637095663025022</c:v>
                </c:pt>
                <c:pt idx="37">
                  <c:v>32.601268295453146</c:v>
                </c:pt>
                <c:pt idx="38">
                  <c:v>27.541683309934804</c:v>
                </c:pt>
                <c:pt idx="39">
                  <c:v>22.496847203270743</c:v>
                </c:pt>
                <c:pt idx="40">
                  <c:v>17.505154224387994</c:v>
                </c:pt>
                <c:pt idx="41">
                  <c:v>12.604594170922489</c:v>
                </c:pt>
                <c:pt idx="42">
                  <c:v>7.8324632639201646</c:v>
                </c:pt>
                <c:pt idx="43">
                  <c:v>3.2250803010747298</c:v>
                </c:pt>
                <c:pt idx="44">
                  <c:v>-1.1824897512526711</c:v>
                </c:pt>
                <c:pt idx="45">
                  <c:v>-5.3567026236002526</c:v>
                </c:pt>
                <c:pt idx="46">
                  <c:v>-9.2657900355508183</c:v>
                </c:pt>
                <c:pt idx="47">
                  <c:v>-12.880001471527894</c:v>
                </c:pt>
                <c:pt idx="48">
                  <c:v>-16.171830600183181</c:v>
                </c:pt>
                <c:pt idx="49">
                  <c:v>-19.116224614186837</c:v>
                </c:pt>
                <c:pt idx="50">
                  <c:v>-21.690774897218564</c:v>
                </c:pt>
                <c:pt idx="51">
                  <c:v>-23.875887567068542</c:v>
                </c:pt>
                <c:pt idx="52">
                  <c:v>-25.654932596912094</c:v>
                </c:pt>
                <c:pt idx="53">
                  <c:v>-27.014370379855368</c:v>
                </c:pt>
                <c:pt idx="54">
                  <c:v>-27.943854773519181</c:v>
                </c:pt>
                <c:pt idx="55">
                  <c:v>-28.436311840429735</c:v>
                </c:pt>
                <c:pt idx="56">
                  <c:v>-28.487993684954123</c:v>
                </c:pt>
                <c:pt idx="57">
                  <c:v>-28.098506977049173</c:v>
                </c:pt>
                <c:pt idx="58">
                  <c:v>-27.270815945740541</c:v>
                </c:pt>
                <c:pt idx="59">
                  <c:v>-26.011219819549996</c:v>
                </c:pt>
                <c:pt idx="60">
                  <c:v>-24.329304885562788</c:v>
                </c:pt>
                <c:pt idx="61">
                  <c:v>-22.237871531994561</c:v>
                </c:pt>
                <c:pt idx="62">
                  <c:v>-19.752836829507959</c:v>
                </c:pt>
                <c:pt idx="63">
                  <c:v>-16.893113392693852</c:v>
                </c:pt>
                <c:pt idx="64">
                  <c:v>-13.680465443654679</c:v>
                </c:pt>
                <c:pt idx="65">
                  <c:v>-10.139343173132442</c:v>
                </c:pt>
                <c:pt idx="66">
                  <c:v>-6.2966966597939411</c:v>
                </c:pt>
                <c:pt idx="67">
                  <c:v>-2.1817707638590349</c:v>
                </c:pt>
                <c:pt idx="68">
                  <c:v>2.1741174439439703</c:v>
                </c:pt>
                <c:pt idx="69">
                  <c:v>6.7378170241965023</c:v>
                </c:pt>
                <c:pt idx="70">
                  <c:v>11.474595467455686</c:v>
                </c:pt>
                <c:pt idx="71">
                  <c:v>16.348403029623331</c:v>
                </c:pt>
                <c:pt idx="72">
                  <c:v>21.322147092265819</c:v>
                </c:pt>
                <c:pt idx="73">
                  <c:v>26.357974459837692</c:v>
                </c:pt>
                <c:pt idx="74">
                  <c:v>31.417559445356027</c:v>
                </c:pt>
              </c:numCache>
            </c:numRef>
          </c:yVal>
          <c:smooth val="0"/>
          <c:extLst>
            <c:ext xmlns:c16="http://schemas.microsoft.com/office/drawing/2014/chart" uri="{C3380CC4-5D6E-409C-BE32-E72D297353CC}">
              <c16:uniqueId val="{00000045-A4BD-6C4C-88C9-B139B3177669}"/>
            </c:ext>
          </c:extLst>
        </c:ser>
        <c:ser>
          <c:idx val="23"/>
          <c:order val="24"/>
          <c:spPr>
            <a:ln w="38100">
              <a:solidFill>
                <a:srgbClr val="FFFFFF"/>
              </a:solidFill>
              <a:prstDash val="solid"/>
            </a:ln>
          </c:spPr>
          <c:marker>
            <c:symbol val="none"/>
          </c:marker>
          <c:xVal>
            <c:numRef>
              <c:f>Calculations!$BE$11:$BE$83</c:f>
              <c:numCache>
                <c:formatCode>#,##0.00</c:formatCode>
                <c:ptCount val="73"/>
                <c:pt idx="0">
                  <c:v>-55.535527234751356</c:v>
                </c:pt>
                <c:pt idx="1">
                  <c:v>-55.199762831385023</c:v>
                </c:pt>
                <c:pt idx="2">
                  <c:v>-54.486236080256887</c:v>
                </c:pt>
                <c:pt idx="3">
                  <c:v>-53.400377350782279</c:v>
                </c:pt>
                <c:pt idx="4">
                  <c:v>-51.950450683551928</c:v>
                </c:pt>
                <c:pt idx="5">
                  <c:v>-50.147490895993108</c:v>
                </c:pt>
                <c:pt idx="6">
                  <c:v>-48.005219600746038</c:v>
                </c:pt>
                <c:pt idx="7">
                  <c:v>-45.53994077590631</c:v>
                </c:pt>
                <c:pt idx="8">
                  <c:v>-42.770416681906994</c:v>
                </c:pt>
                <c:pt idx="9">
                  <c:v>-39.717725069387832</c:v>
                </c:pt>
                <c:pt idx="10">
                  <c:v>-36.40509876478567</c:v>
                </c:pt>
                <c:pt idx="11">
                  <c:v>-32.857748854496975</c:v>
                </c:pt>
                <c:pt idx="12">
                  <c:v>-29.102672813287473</c:v>
                </c:pt>
                <c:pt idx="13">
                  <c:v>-25.168449037207704</c:v>
                </c:pt>
                <c:pt idx="14">
                  <c:v>-21.085019344742889</c:v>
                </c:pt>
                <c:pt idx="15">
                  <c:v>-16.883461101494927</c:v>
                </c:pt>
                <c:pt idx="16">
                  <c:v>-12.595750702665196</c:v>
                </c:pt>
                <c:pt idx="17">
                  <c:v>-8.2545202133790987</c:v>
                </c:pt>
                <c:pt idx="18">
                  <c:v>-3.8928090189667302</c:v>
                </c:pt>
                <c:pt idx="19">
                  <c:v>0.45618762470918117</c:v>
                </c:pt>
                <c:pt idx="20">
                  <c:v>4.7593712271943129</c:v>
                </c:pt>
                <c:pt idx="21">
                  <c:v>8.9839919629404346</c:v>
                </c:pt>
                <c:pt idx="22">
                  <c:v>13.097897917252791</c:v>
                </c:pt>
                <c:pt idx="23">
                  <c:v>17.069779781774713</c:v>
                </c:pt>
                <c:pt idx="24">
                  <c:v>20.869409137229376</c:v>
                </c:pt>
                <c:pt idx="25">
                  <c:v>24.467868509942807</c:v>
                </c:pt>
                <c:pt idx="26">
                  <c:v>27.837771451279494</c:v>
                </c:pt>
                <c:pt idx="27">
                  <c:v>30.953470965052844</c:v>
                </c:pt>
                <c:pt idx="28">
                  <c:v>33.791254696652231</c:v>
                </c:pt>
                <c:pt idx="29">
                  <c:v>36.329525398379516</c:v>
                </c:pt>
                <c:pt idx="30">
                  <c:v>38.548965297544797</c:v>
                </c:pt>
                <c:pt idx="31">
                  <c:v>40.432683116380986</c:v>
                </c:pt>
                <c:pt idx="32">
                  <c:v>41.966342624866805</c:v>
                </c:pt>
                <c:pt idx="33">
                  <c:v>43.138271748093771</c:v>
                </c:pt>
                <c:pt idx="34">
                  <c:v>43.939551397803946</c:v>
                </c:pt>
                <c:pt idx="35">
                  <c:v>44.364083352037184</c:v>
                </c:pt>
                <c:pt idx="36">
                  <c:v>44.408636666282348</c:v>
                </c:pt>
                <c:pt idx="37">
                  <c:v>44.072872262916015</c:v>
                </c:pt>
                <c:pt idx="38">
                  <c:v>43.359345511787879</c:v>
                </c:pt>
                <c:pt idx="39">
                  <c:v>42.27348678231327</c:v>
                </c:pt>
                <c:pt idx="40">
                  <c:v>40.82356011508292</c:v>
                </c:pt>
                <c:pt idx="41">
                  <c:v>39.020600327524107</c:v>
                </c:pt>
                <c:pt idx="42">
                  <c:v>36.878329032277023</c:v>
                </c:pt>
                <c:pt idx="43">
                  <c:v>34.413050207437294</c:v>
                </c:pt>
                <c:pt idx="44">
                  <c:v>31.643526113437993</c:v>
                </c:pt>
                <c:pt idx="45">
                  <c:v>28.590834500918831</c:v>
                </c:pt>
                <c:pt idx="46">
                  <c:v>25.278208196316662</c:v>
                </c:pt>
                <c:pt idx="47">
                  <c:v>21.730858286027964</c:v>
                </c:pt>
                <c:pt idx="48">
                  <c:v>17.975782244818479</c:v>
                </c:pt>
                <c:pt idx="49">
                  <c:v>14.0415584687387</c:v>
                </c:pt>
                <c:pt idx="50">
                  <c:v>9.9581287762738846</c:v>
                </c:pt>
                <c:pt idx="51">
                  <c:v>5.7565705330259238</c:v>
                </c:pt>
                <c:pt idx="52">
                  <c:v>1.4688601341961931</c:v>
                </c:pt>
                <c:pt idx="53">
                  <c:v>-2.8723703550899153</c:v>
                </c:pt>
                <c:pt idx="54">
                  <c:v>-7.2340815495022719</c:v>
                </c:pt>
                <c:pt idx="55">
                  <c:v>-11.583078193178196</c:v>
                </c:pt>
                <c:pt idx="56">
                  <c:v>-15.886261795663316</c:v>
                </c:pt>
                <c:pt idx="57">
                  <c:v>-20.110882531409448</c:v>
                </c:pt>
                <c:pt idx="58">
                  <c:v>-24.224788485721795</c:v>
                </c:pt>
                <c:pt idx="59">
                  <c:v>-28.196670350243718</c:v>
                </c:pt>
                <c:pt idx="60">
                  <c:v>-31.99629970569837</c:v>
                </c:pt>
                <c:pt idx="61">
                  <c:v>-35.594759078411812</c:v>
                </c:pt>
                <c:pt idx="62">
                  <c:v>-38.964662019748502</c:v>
                </c:pt>
                <c:pt idx="63">
                  <c:v>-42.080361533521852</c:v>
                </c:pt>
                <c:pt idx="64">
                  <c:v>-44.918145265121233</c:v>
                </c:pt>
                <c:pt idx="65">
                  <c:v>-47.456415966848525</c:v>
                </c:pt>
                <c:pt idx="66">
                  <c:v>-49.675855866013805</c:v>
                </c:pt>
                <c:pt idx="67">
                  <c:v>-51.559573684849987</c:v>
                </c:pt>
                <c:pt idx="68">
                  <c:v>-53.093233193335813</c:v>
                </c:pt>
                <c:pt idx="69">
                  <c:v>-54.26516231656278</c:v>
                </c:pt>
                <c:pt idx="70">
                  <c:v>-55.066441966272961</c:v>
                </c:pt>
                <c:pt idx="71">
                  <c:v>-55.490973920506192</c:v>
                </c:pt>
                <c:pt idx="72">
                  <c:v>-55.535527234751356</c:v>
                </c:pt>
              </c:numCache>
            </c:numRef>
          </c:xVal>
          <c:yVal>
            <c:numRef>
              <c:f>Calculations!$BF$11:$BF$83</c:f>
              <c:numCache>
                <c:formatCode>#,##0.00</c:formatCode>
                <c:ptCount val="73"/>
                <c:pt idx="0">
                  <c:v>31.150257642913196</c:v>
                </c:pt>
                <c:pt idx="1">
                  <c:v>35.499254286589107</c:v>
                </c:pt>
                <c:pt idx="2">
                  <c:v>39.802437889074227</c:v>
                </c:pt>
                <c:pt idx="3">
                  <c:v>44.02705862482037</c:v>
                </c:pt>
                <c:pt idx="4">
                  <c:v>48.140964579132714</c:v>
                </c:pt>
                <c:pt idx="5">
                  <c:v>52.112846443654639</c:v>
                </c:pt>
                <c:pt idx="6">
                  <c:v>55.912475799109288</c:v>
                </c:pt>
                <c:pt idx="7">
                  <c:v>59.510935171822723</c:v>
                </c:pt>
                <c:pt idx="8">
                  <c:v>62.880838113159427</c:v>
                </c:pt>
                <c:pt idx="9">
                  <c:v>65.996537626932763</c:v>
                </c:pt>
                <c:pt idx="10">
                  <c:v>68.834321358532151</c:v>
                </c:pt>
                <c:pt idx="11">
                  <c:v>71.372592060259436</c:v>
                </c:pt>
                <c:pt idx="12">
                  <c:v>73.592031959424716</c:v>
                </c:pt>
                <c:pt idx="13">
                  <c:v>75.475749778260905</c:v>
                </c:pt>
                <c:pt idx="14">
                  <c:v>77.009409286746731</c:v>
                </c:pt>
                <c:pt idx="15">
                  <c:v>78.181338409973691</c:v>
                </c:pt>
                <c:pt idx="16">
                  <c:v>78.982618059683873</c:v>
                </c:pt>
                <c:pt idx="17">
                  <c:v>79.407150013917104</c:v>
                </c:pt>
                <c:pt idx="18">
                  <c:v>79.451703328162267</c:v>
                </c:pt>
                <c:pt idx="19">
                  <c:v>79.115938924795941</c:v>
                </c:pt>
                <c:pt idx="20">
                  <c:v>78.402412173667798</c:v>
                </c:pt>
                <c:pt idx="21">
                  <c:v>77.316553444193204</c:v>
                </c:pt>
                <c:pt idx="22">
                  <c:v>75.866626776962846</c:v>
                </c:pt>
                <c:pt idx="23">
                  <c:v>74.063666989404027</c:v>
                </c:pt>
                <c:pt idx="24">
                  <c:v>71.921395694156942</c:v>
                </c:pt>
                <c:pt idx="25">
                  <c:v>69.456116869317214</c:v>
                </c:pt>
                <c:pt idx="26">
                  <c:v>66.686592775317919</c:v>
                </c:pt>
                <c:pt idx="27">
                  <c:v>63.63390116279875</c:v>
                </c:pt>
                <c:pt idx="28">
                  <c:v>60.321274858196581</c:v>
                </c:pt>
                <c:pt idx="29">
                  <c:v>56.773924947907886</c:v>
                </c:pt>
                <c:pt idx="30">
                  <c:v>53.018848906698395</c:v>
                </c:pt>
                <c:pt idx="31">
                  <c:v>49.084625130618619</c:v>
                </c:pt>
                <c:pt idx="32">
                  <c:v>45.0011954381538</c:v>
                </c:pt>
                <c:pt idx="33">
                  <c:v>40.799637194905849</c:v>
                </c:pt>
                <c:pt idx="34">
                  <c:v>36.511926796076111</c:v>
                </c:pt>
                <c:pt idx="35">
                  <c:v>32.170696306790006</c:v>
                </c:pt>
                <c:pt idx="36">
                  <c:v>27.808985112377648</c:v>
                </c:pt>
                <c:pt idx="37">
                  <c:v>23.459988468701731</c:v>
                </c:pt>
                <c:pt idx="38">
                  <c:v>19.156804866216604</c:v>
                </c:pt>
                <c:pt idx="39">
                  <c:v>14.932184130470478</c:v>
                </c:pt>
                <c:pt idx="40">
                  <c:v>10.818278176158127</c:v>
                </c:pt>
                <c:pt idx="41">
                  <c:v>6.8463963116362017</c:v>
                </c:pt>
                <c:pt idx="42">
                  <c:v>3.0467669561815427</c:v>
                </c:pt>
                <c:pt idx="43">
                  <c:v>-0.5516924165318855</c:v>
                </c:pt>
                <c:pt idx="44">
                  <c:v>-3.9215953578685792</c:v>
                </c:pt>
                <c:pt idx="45">
                  <c:v>-7.0372948716419295</c:v>
                </c:pt>
                <c:pt idx="46">
                  <c:v>-9.8750786032413096</c:v>
                </c:pt>
                <c:pt idx="47">
                  <c:v>-12.413349304968602</c:v>
                </c:pt>
                <c:pt idx="48">
                  <c:v>-14.632789204133882</c:v>
                </c:pt>
                <c:pt idx="49">
                  <c:v>-16.516507022970071</c:v>
                </c:pt>
                <c:pt idx="50">
                  <c:v>-18.05016653145589</c:v>
                </c:pt>
                <c:pt idx="51">
                  <c:v>-19.222095654682857</c:v>
                </c:pt>
                <c:pt idx="52">
                  <c:v>-20.023375304393031</c:v>
                </c:pt>
                <c:pt idx="53">
                  <c:v>-20.44790725862627</c:v>
                </c:pt>
                <c:pt idx="54">
                  <c:v>-20.492460572871433</c:v>
                </c:pt>
                <c:pt idx="55">
                  <c:v>-20.1566961695051</c:v>
                </c:pt>
                <c:pt idx="56">
                  <c:v>-19.443169418376964</c:v>
                </c:pt>
                <c:pt idx="57">
                  <c:v>-18.357310688902356</c:v>
                </c:pt>
                <c:pt idx="58">
                  <c:v>-16.907384021672005</c:v>
                </c:pt>
                <c:pt idx="59">
                  <c:v>-15.104424234113193</c:v>
                </c:pt>
                <c:pt idx="60">
                  <c:v>-12.962152938866122</c:v>
                </c:pt>
                <c:pt idx="61">
                  <c:v>-10.496874114026372</c:v>
                </c:pt>
                <c:pt idx="62">
                  <c:v>-7.7273500200270782</c:v>
                </c:pt>
                <c:pt idx="63">
                  <c:v>-4.6746584075079163</c:v>
                </c:pt>
                <c:pt idx="64">
                  <c:v>-1.3620321029057543</c:v>
                </c:pt>
                <c:pt idx="65">
                  <c:v>2.1853178073829547</c:v>
                </c:pt>
                <c:pt idx="66">
                  <c:v>5.9403938485924428</c:v>
                </c:pt>
                <c:pt idx="67">
                  <c:v>9.8746176246722115</c:v>
                </c:pt>
                <c:pt idx="68">
                  <c:v>13.958047317137027</c:v>
                </c:pt>
                <c:pt idx="69">
                  <c:v>18.159605560384996</c:v>
                </c:pt>
                <c:pt idx="70">
                  <c:v>22.447315959214727</c:v>
                </c:pt>
                <c:pt idx="71">
                  <c:v>26.788546448500828</c:v>
                </c:pt>
                <c:pt idx="72">
                  <c:v>31.150257642913182</c:v>
                </c:pt>
              </c:numCache>
            </c:numRef>
          </c:yVal>
          <c:smooth val="1"/>
          <c:extLst>
            <c:ext xmlns:c16="http://schemas.microsoft.com/office/drawing/2014/chart" uri="{C3380CC4-5D6E-409C-BE32-E72D297353CC}">
              <c16:uniqueId val="{00000046-A4BD-6C4C-88C9-B139B3177669}"/>
            </c:ext>
          </c:extLst>
        </c:ser>
        <c:ser>
          <c:idx val="25"/>
          <c:order val="25"/>
          <c:spPr>
            <a:ln w="28575">
              <a:no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47-A4BD-6C4C-88C9-B139B3177669}"/>
                </c:ext>
              </c:extLst>
            </c:dLbl>
            <c:dLbl>
              <c:idx val="1"/>
              <c:tx>
                <c:rich>
                  <a:bodyPr/>
                  <a:lstStyle/>
                  <a:p>
                    <a:pPr>
                      <a:defRPr sz="1075" b="1" i="0" u="none" strike="noStrike" baseline="0">
                        <a:solidFill>
                          <a:srgbClr val="006411"/>
                        </a:solidFill>
                        <a:latin typeface="Verdana"/>
                        <a:ea typeface="Verdana"/>
                        <a:cs typeface="Verdana"/>
                      </a:defRPr>
                    </a:pPr>
                    <a:r>
                      <a:rPr lang="en-US"/>
                      <a:t>1</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8-A4BD-6C4C-88C9-B139B3177669}"/>
                </c:ext>
              </c:extLst>
            </c:dLbl>
            <c:dLbl>
              <c:idx val="2"/>
              <c:tx>
                <c:rich>
                  <a:bodyPr/>
                  <a:lstStyle/>
                  <a:p>
                    <a:pPr>
                      <a:defRPr sz="1075" b="1" i="0" u="none" strike="noStrike" baseline="0">
                        <a:solidFill>
                          <a:srgbClr val="006411"/>
                        </a:solidFill>
                        <a:latin typeface="Verdana"/>
                        <a:ea typeface="Verdana"/>
                        <a:cs typeface="Verdana"/>
                      </a:defRPr>
                    </a:pPr>
                    <a:r>
                      <a:rPr lang="en-US"/>
                      <a:t>2</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9-A4BD-6C4C-88C9-B139B3177669}"/>
                </c:ext>
              </c:extLst>
            </c:dLbl>
            <c:dLbl>
              <c:idx val="3"/>
              <c:tx>
                <c:rich>
                  <a:bodyPr/>
                  <a:lstStyle/>
                  <a:p>
                    <a:pPr>
                      <a:defRPr sz="1075" b="1" i="0" u="none" strike="noStrike" baseline="0">
                        <a:solidFill>
                          <a:srgbClr val="006411"/>
                        </a:solidFill>
                        <a:latin typeface="Verdana"/>
                        <a:ea typeface="Verdana"/>
                        <a:cs typeface="Verdana"/>
                      </a:defRPr>
                    </a:pPr>
                    <a:r>
                      <a:rPr lang="en-US"/>
                      <a:t>3</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A-A4BD-6C4C-88C9-B139B3177669}"/>
                </c:ext>
              </c:extLst>
            </c:dLbl>
            <c:dLbl>
              <c:idx val="4"/>
              <c:tx>
                <c:rich>
                  <a:bodyPr/>
                  <a:lstStyle/>
                  <a:p>
                    <a:pPr>
                      <a:defRPr sz="1075" b="1" i="0" u="none" strike="noStrike" baseline="0">
                        <a:solidFill>
                          <a:srgbClr val="006411"/>
                        </a:solidFill>
                        <a:latin typeface="Verdana"/>
                        <a:ea typeface="Verdana"/>
                        <a:cs typeface="Verdana"/>
                      </a:defRPr>
                    </a:pPr>
                    <a:r>
                      <a:rPr lang="en-US"/>
                      <a:t>4</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B-A4BD-6C4C-88C9-B139B3177669}"/>
                </c:ext>
              </c:extLst>
            </c:dLbl>
            <c:dLbl>
              <c:idx val="5"/>
              <c:tx>
                <c:rich>
                  <a:bodyPr/>
                  <a:lstStyle/>
                  <a:p>
                    <a:pPr>
                      <a:defRPr sz="1075" b="1" i="0" u="none" strike="noStrike" baseline="0">
                        <a:solidFill>
                          <a:srgbClr val="006411"/>
                        </a:solidFill>
                        <a:latin typeface="Verdana"/>
                        <a:ea typeface="Verdana"/>
                        <a:cs typeface="Verdana"/>
                      </a:defRPr>
                    </a:pPr>
                    <a:r>
                      <a:rPr lang="en-US"/>
                      <a:t>5</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C-A4BD-6C4C-88C9-B139B3177669}"/>
                </c:ext>
              </c:extLst>
            </c:dLbl>
            <c:dLbl>
              <c:idx val="6"/>
              <c:tx>
                <c:rich>
                  <a:bodyPr/>
                  <a:lstStyle/>
                  <a:p>
                    <a:pPr>
                      <a:defRPr sz="1075" b="1" i="0" u="none" strike="noStrike" baseline="0">
                        <a:solidFill>
                          <a:srgbClr val="006411"/>
                        </a:solidFill>
                        <a:latin typeface="Verdana"/>
                        <a:ea typeface="Verdana"/>
                        <a:cs typeface="Verdana"/>
                      </a:defRPr>
                    </a:pPr>
                    <a:r>
                      <a:rPr lang="en-US"/>
                      <a:t>6</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D-A4BD-6C4C-88C9-B139B3177669}"/>
                </c:ext>
              </c:extLst>
            </c:dLbl>
            <c:dLbl>
              <c:idx val="7"/>
              <c:tx>
                <c:rich>
                  <a:bodyPr/>
                  <a:lstStyle/>
                  <a:p>
                    <a:pPr>
                      <a:defRPr sz="1075" b="1" i="0" u="none" strike="noStrike" baseline="0">
                        <a:solidFill>
                          <a:srgbClr val="006411"/>
                        </a:solidFill>
                        <a:latin typeface="Verdana"/>
                        <a:ea typeface="Verdana"/>
                        <a:cs typeface="Verdana"/>
                      </a:defRPr>
                    </a:pPr>
                    <a:r>
                      <a:rPr lang="en-US"/>
                      <a:t>7</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E-A4BD-6C4C-88C9-B139B3177669}"/>
                </c:ext>
              </c:extLst>
            </c:dLbl>
            <c:dLbl>
              <c:idx val="8"/>
              <c:tx>
                <c:rich>
                  <a:bodyPr/>
                  <a:lstStyle/>
                  <a:p>
                    <a:pPr>
                      <a:defRPr sz="1075" b="1" i="0" u="none" strike="noStrike" baseline="0">
                        <a:solidFill>
                          <a:srgbClr val="006411"/>
                        </a:solidFill>
                        <a:latin typeface="Verdana"/>
                        <a:ea typeface="Verdana"/>
                        <a:cs typeface="Verdana"/>
                      </a:defRPr>
                    </a:pPr>
                    <a:r>
                      <a:rPr lang="en-US"/>
                      <a:t>8</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F-A4BD-6C4C-88C9-B139B3177669}"/>
                </c:ext>
              </c:extLst>
            </c:dLbl>
            <c:dLbl>
              <c:idx val="9"/>
              <c:tx>
                <c:rich>
                  <a:bodyPr/>
                  <a:lstStyle/>
                  <a:p>
                    <a:pPr>
                      <a:defRPr sz="1075" b="1" i="0" u="none" strike="noStrike" baseline="0">
                        <a:solidFill>
                          <a:srgbClr val="006411"/>
                        </a:solidFill>
                        <a:latin typeface="Verdana"/>
                        <a:ea typeface="Verdana"/>
                        <a:cs typeface="Verdana"/>
                      </a:defRPr>
                    </a:pPr>
                    <a:r>
                      <a:rPr lang="en-US"/>
                      <a:t>9</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0-A4BD-6C4C-88C9-B139B3177669}"/>
                </c:ext>
              </c:extLst>
            </c:dLbl>
            <c:dLbl>
              <c:idx val="10"/>
              <c:tx>
                <c:rich>
                  <a:bodyPr/>
                  <a:lstStyle/>
                  <a:p>
                    <a:pPr>
                      <a:defRPr sz="1075" b="1" i="0" u="none" strike="noStrike" baseline="0">
                        <a:solidFill>
                          <a:srgbClr val="006411"/>
                        </a:solidFill>
                        <a:latin typeface="Verdana"/>
                        <a:ea typeface="Verdana"/>
                        <a:cs typeface="Verdana"/>
                      </a:defRPr>
                    </a:pPr>
                    <a:r>
                      <a:rPr lang="en-US"/>
                      <a:t>10</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1-A4BD-6C4C-88C9-B139B3177669}"/>
                </c:ext>
              </c:extLst>
            </c:dLbl>
            <c:dLbl>
              <c:idx val="11"/>
              <c:tx>
                <c:rich>
                  <a:bodyPr/>
                  <a:lstStyle/>
                  <a:p>
                    <a:pPr>
                      <a:defRPr sz="1075" b="1" i="0" u="none" strike="noStrike" baseline="0">
                        <a:solidFill>
                          <a:srgbClr val="006411"/>
                        </a:solidFill>
                        <a:latin typeface="Verdana"/>
                        <a:ea typeface="Verdana"/>
                        <a:cs typeface="Verdana"/>
                      </a:defRPr>
                    </a:pPr>
                    <a:r>
                      <a:rPr lang="en-US"/>
                      <a:t>11</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2-A4BD-6C4C-88C9-B139B3177669}"/>
                </c:ext>
              </c:extLst>
            </c:dLbl>
            <c:dLbl>
              <c:idx val="12"/>
              <c:tx>
                <c:rich>
                  <a:bodyPr/>
                  <a:lstStyle/>
                  <a:p>
                    <a:pPr>
                      <a:defRPr sz="1075" b="1" i="0" u="none" strike="noStrike" baseline="0">
                        <a:solidFill>
                          <a:srgbClr val="006411"/>
                        </a:solidFill>
                        <a:latin typeface="Verdana"/>
                        <a:ea typeface="Verdana"/>
                        <a:cs typeface="Verdana"/>
                      </a:defRPr>
                    </a:pPr>
                    <a:r>
                      <a:rPr lang="en-US"/>
                      <a:t>12</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3-A4BD-6C4C-88C9-B139B3177669}"/>
                </c:ext>
              </c:extLst>
            </c:dLbl>
            <c:dLbl>
              <c:idx val="13"/>
              <c:tx>
                <c:rich>
                  <a:bodyPr/>
                  <a:lstStyle/>
                  <a:p>
                    <a:pPr>
                      <a:defRPr sz="1075" b="1" i="0" u="none" strike="noStrike" baseline="0">
                        <a:solidFill>
                          <a:srgbClr val="006411"/>
                        </a:solidFill>
                        <a:latin typeface="Verdana"/>
                        <a:ea typeface="Verdana"/>
                        <a:cs typeface="Verdana"/>
                      </a:defRPr>
                    </a:pPr>
                    <a:r>
                      <a:rPr lang="en-US"/>
                      <a:t>13</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4-A4BD-6C4C-88C9-B139B3177669}"/>
                </c:ext>
              </c:extLst>
            </c:dLbl>
            <c:dLbl>
              <c:idx val="14"/>
              <c:tx>
                <c:rich>
                  <a:bodyPr/>
                  <a:lstStyle/>
                  <a:p>
                    <a:pPr>
                      <a:defRPr sz="1075" b="1" i="0" u="none" strike="noStrike" baseline="0">
                        <a:solidFill>
                          <a:srgbClr val="006411"/>
                        </a:solidFill>
                        <a:latin typeface="Verdana"/>
                        <a:ea typeface="Verdana"/>
                        <a:cs typeface="Verdana"/>
                      </a:defRPr>
                    </a:pPr>
                    <a:r>
                      <a:rPr lang="en-US"/>
                      <a:t>14</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5-A4BD-6C4C-88C9-B139B3177669}"/>
                </c:ext>
              </c:extLst>
            </c:dLbl>
            <c:dLbl>
              <c:idx val="15"/>
              <c:tx>
                <c:rich>
                  <a:bodyPr/>
                  <a:lstStyle/>
                  <a:p>
                    <a:pPr>
                      <a:defRPr sz="1075" b="1" i="0" u="none" strike="noStrike" baseline="0">
                        <a:solidFill>
                          <a:srgbClr val="006411"/>
                        </a:solidFill>
                        <a:latin typeface="Verdana"/>
                        <a:ea typeface="Verdana"/>
                        <a:cs typeface="Verdana"/>
                      </a:defRPr>
                    </a:pPr>
                    <a:r>
                      <a:rPr lang="en-US"/>
                      <a:t>15</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6-A4BD-6C4C-88C9-B139B3177669}"/>
                </c:ext>
              </c:extLst>
            </c:dLbl>
            <c:dLbl>
              <c:idx val="16"/>
              <c:tx>
                <c:rich>
                  <a:bodyPr/>
                  <a:lstStyle/>
                  <a:p>
                    <a:pPr>
                      <a:defRPr sz="1075" b="1" i="0" u="none" strike="noStrike" baseline="0">
                        <a:solidFill>
                          <a:srgbClr val="006411"/>
                        </a:solidFill>
                        <a:latin typeface="Verdana"/>
                        <a:ea typeface="Verdana"/>
                        <a:cs typeface="Verdana"/>
                      </a:defRPr>
                    </a:pPr>
                    <a:r>
                      <a:rPr lang="en-US"/>
                      <a:t>16</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7-A4BD-6C4C-88C9-B139B3177669}"/>
                </c:ext>
              </c:extLst>
            </c:dLbl>
            <c:dLbl>
              <c:idx val="17"/>
              <c:tx>
                <c:rich>
                  <a:bodyPr/>
                  <a:lstStyle/>
                  <a:p>
                    <a:pPr>
                      <a:defRPr sz="1075" b="1" i="0" u="none" strike="noStrike" baseline="0">
                        <a:solidFill>
                          <a:srgbClr val="006411"/>
                        </a:solidFill>
                        <a:latin typeface="Verdana"/>
                        <a:ea typeface="Verdana"/>
                        <a:cs typeface="Verdana"/>
                      </a:defRPr>
                    </a:pPr>
                    <a:r>
                      <a:rPr lang="en-US"/>
                      <a:t>17</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8-A4BD-6C4C-88C9-B139B3177669}"/>
                </c:ext>
              </c:extLst>
            </c:dLbl>
            <c:dLbl>
              <c:idx val="18"/>
              <c:tx>
                <c:rich>
                  <a:bodyPr/>
                  <a:lstStyle/>
                  <a:p>
                    <a:pPr>
                      <a:defRPr sz="1075" b="1" i="0" u="none" strike="noStrike" baseline="0">
                        <a:solidFill>
                          <a:srgbClr val="006411"/>
                        </a:solidFill>
                        <a:latin typeface="Verdana"/>
                        <a:ea typeface="Verdana"/>
                        <a:cs typeface="Verdana"/>
                      </a:defRPr>
                    </a:pPr>
                    <a:r>
                      <a:rPr lang="en-US"/>
                      <a:t>18</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9-A4BD-6C4C-88C9-B139B3177669}"/>
                </c:ext>
              </c:extLst>
            </c:dLbl>
            <c:dLbl>
              <c:idx val="19"/>
              <c:tx>
                <c:rich>
                  <a:bodyPr/>
                  <a:lstStyle/>
                  <a:p>
                    <a:pPr>
                      <a:defRPr sz="1075" b="1" i="0" u="none" strike="noStrike" baseline="0">
                        <a:solidFill>
                          <a:srgbClr val="006411"/>
                        </a:solidFill>
                        <a:latin typeface="Verdana"/>
                        <a:ea typeface="Verdana"/>
                        <a:cs typeface="Verdana"/>
                      </a:defRPr>
                    </a:pPr>
                    <a:r>
                      <a:rPr lang="en-US"/>
                      <a:t>19</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A-A4BD-6C4C-88C9-B139B3177669}"/>
                </c:ext>
              </c:extLst>
            </c:dLbl>
            <c:dLbl>
              <c:idx val="20"/>
              <c:tx>
                <c:rich>
                  <a:bodyPr/>
                  <a:lstStyle/>
                  <a:p>
                    <a:pPr>
                      <a:defRPr sz="1075" b="1" i="0" u="none" strike="noStrike" baseline="0">
                        <a:solidFill>
                          <a:srgbClr val="006411"/>
                        </a:solidFill>
                        <a:latin typeface="Verdana"/>
                        <a:ea typeface="Verdana"/>
                        <a:cs typeface="Verdana"/>
                      </a:defRPr>
                    </a:pPr>
                    <a:r>
                      <a:rPr lang="en-US"/>
                      <a:t>20</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B-A4BD-6C4C-88C9-B139B3177669}"/>
                </c:ext>
              </c:extLst>
            </c:dLbl>
            <c:dLbl>
              <c:idx val="21"/>
              <c:tx>
                <c:rich>
                  <a:bodyPr/>
                  <a:lstStyle/>
                  <a:p>
                    <a:pPr>
                      <a:defRPr sz="1075" b="1" i="0" u="none" strike="noStrike" baseline="0">
                        <a:solidFill>
                          <a:srgbClr val="006411"/>
                        </a:solidFill>
                        <a:latin typeface="Verdana"/>
                        <a:ea typeface="Verdana"/>
                        <a:cs typeface="Verdana"/>
                      </a:defRPr>
                    </a:pPr>
                    <a:r>
                      <a:rPr lang="en-US"/>
                      <a:t>21</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C-A4BD-6C4C-88C9-B139B3177669}"/>
                </c:ext>
              </c:extLst>
            </c:dLbl>
            <c:dLbl>
              <c:idx val="22"/>
              <c:tx>
                <c:rich>
                  <a:bodyPr/>
                  <a:lstStyle/>
                  <a:p>
                    <a:pPr>
                      <a:defRPr sz="1075" b="1" i="0" u="none" strike="noStrike" baseline="0">
                        <a:solidFill>
                          <a:srgbClr val="006411"/>
                        </a:solidFill>
                        <a:latin typeface="Verdana"/>
                        <a:ea typeface="Verdana"/>
                        <a:cs typeface="Verdana"/>
                      </a:defRPr>
                    </a:pPr>
                    <a:r>
                      <a:rPr lang="en-US"/>
                      <a:t>22</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D-A4BD-6C4C-88C9-B139B3177669}"/>
                </c:ext>
              </c:extLst>
            </c:dLbl>
            <c:dLbl>
              <c:idx val="23"/>
              <c:tx>
                <c:rich>
                  <a:bodyPr/>
                  <a:lstStyle/>
                  <a:p>
                    <a:pPr>
                      <a:defRPr sz="1075" b="1" i="0" u="none" strike="noStrike" baseline="0">
                        <a:solidFill>
                          <a:srgbClr val="006411"/>
                        </a:solidFill>
                        <a:latin typeface="Verdana"/>
                        <a:ea typeface="Verdana"/>
                        <a:cs typeface="Verdana"/>
                      </a:defRPr>
                    </a:pPr>
                    <a:r>
                      <a:rPr lang="en-US"/>
                      <a:t>23</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E-A4BD-6C4C-88C9-B139B3177669}"/>
                </c:ext>
              </c:extLst>
            </c:dLbl>
            <c:dLbl>
              <c:idx val="24"/>
              <c:tx>
                <c:rich>
                  <a:bodyPr/>
                  <a:lstStyle/>
                  <a:p>
                    <a:pPr>
                      <a:defRPr sz="1075" b="1" i="0" u="none" strike="noStrike" baseline="0">
                        <a:solidFill>
                          <a:srgbClr val="993366"/>
                        </a:solidFill>
                        <a:latin typeface="Verdana"/>
                        <a:ea typeface="Verdana"/>
                        <a:cs typeface="Verdana"/>
                      </a:defRPr>
                    </a:pPr>
                    <a:r>
                      <a:rPr lang="en-US"/>
                      <a:t>24</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F-A4BD-6C4C-88C9-B139B3177669}"/>
                </c:ext>
              </c:extLst>
            </c:dLbl>
            <c:spPr>
              <a:noFill/>
              <a:ln w="25400">
                <a:noFill/>
              </a:ln>
            </c:spPr>
            <c:txPr>
              <a:bodyPr wrap="square" lIns="38100" tIns="19050" rIns="38100" bIns="19050" anchor="ctr">
                <a:spAutoFit/>
              </a:bodyPr>
              <a:lstStyle/>
              <a:p>
                <a:pPr>
                  <a:defRPr sz="1075" b="0" i="0" u="none" strike="noStrike" baseline="0">
                    <a:solidFill>
                      <a:srgbClr val="000000"/>
                    </a:solidFill>
                    <a:latin typeface="Verdana"/>
                    <a:ea typeface="Verdana"/>
                    <a:cs typeface="Verdana"/>
                  </a:defRPr>
                </a:pPr>
                <a:endParaRPr lang="en-CH"/>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Calculations!$AO$10:$AO$34</c:f>
              <c:numCache>
                <c:formatCode>#,##0.00</c:formatCode>
                <c:ptCount val="25"/>
                <c:pt idx="0">
                  <c:v>119.35621083829358</c:v>
                </c:pt>
                <c:pt idx="1">
                  <c:v>108.1524789063747</c:v>
                </c:pt>
                <c:pt idx="2">
                  <c:v>89.578334267408422</c:v>
                </c:pt>
                <c:pt idx="3">
                  <c:v>64.899574183314968</c:v>
                </c:pt>
                <c:pt idx="4">
                  <c:v>35.79801537024597</c:v>
                </c:pt>
                <c:pt idx="5">
                  <c:v>4.2568809687122942</c:v>
                </c:pt>
                <c:pt idx="6">
                  <c:v>-27.574352836010757</c:v>
                </c:pt>
                <c:pt idx="7">
                  <c:v>-57.526440063732302</c:v>
                </c:pt>
                <c:pt idx="8">
                  <c:v>-83.558195468047572</c:v>
                </c:pt>
                <c:pt idx="9">
                  <c:v>-103.89559793766243</c:v>
                </c:pt>
                <c:pt idx="10">
                  <c:v>-117.15268710341918</c:v>
                </c:pt>
                <c:pt idx="11">
                  <c:v>-122.42601424704726</c:v>
                </c:pt>
                <c:pt idx="12">
                  <c:v>-119.35621083829356</c:v>
                </c:pt>
                <c:pt idx="13">
                  <c:v>-108.15247890637467</c:v>
                </c:pt>
                <c:pt idx="14">
                  <c:v>-89.578334267408422</c:v>
                </c:pt>
                <c:pt idx="15">
                  <c:v>-64.899574183314925</c:v>
                </c:pt>
                <c:pt idx="16">
                  <c:v>-35.798015370245984</c:v>
                </c:pt>
                <c:pt idx="17">
                  <c:v>-4.2568809687123093</c:v>
                </c:pt>
                <c:pt idx="18">
                  <c:v>27.574352836010796</c:v>
                </c:pt>
                <c:pt idx="19">
                  <c:v>57.526440063732288</c:v>
                </c:pt>
                <c:pt idx="20">
                  <c:v>83.558195468047558</c:v>
                </c:pt>
                <c:pt idx="21">
                  <c:v>103.89559793766242</c:v>
                </c:pt>
                <c:pt idx="22">
                  <c:v>117.15268710341917</c:v>
                </c:pt>
                <c:pt idx="23">
                  <c:v>122.42601424704726</c:v>
                </c:pt>
                <c:pt idx="24">
                  <c:v>119.35621083829358</c:v>
                </c:pt>
              </c:numCache>
            </c:numRef>
          </c:xVal>
          <c:yVal>
            <c:numRef>
              <c:f>Calculations!$AP$10:$AP$34</c:f>
              <c:numCache>
                <c:formatCode>#,##0.00</c:formatCode>
                <c:ptCount val="25"/>
                <c:pt idx="0">
                  <c:v>-27.574352836010739</c:v>
                </c:pt>
                <c:pt idx="1">
                  <c:v>-57.526440063732259</c:v>
                </c:pt>
                <c:pt idx="2">
                  <c:v>-83.558195468047572</c:v>
                </c:pt>
                <c:pt idx="3">
                  <c:v>-103.8955979376624</c:v>
                </c:pt>
                <c:pt idx="4">
                  <c:v>-117.15268710341918</c:v>
                </c:pt>
                <c:pt idx="5">
                  <c:v>-122.42601424704726</c:v>
                </c:pt>
                <c:pt idx="6">
                  <c:v>-119.35621083829358</c:v>
                </c:pt>
                <c:pt idx="7">
                  <c:v>-108.15247890637467</c:v>
                </c:pt>
                <c:pt idx="8">
                  <c:v>-89.578334267408422</c:v>
                </c:pt>
                <c:pt idx="9">
                  <c:v>-64.899574183314925</c:v>
                </c:pt>
                <c:pt idx="10">
                  <c:v>-35.798015370245977</c:v>
                </c:pt>
                <c:pt idx="11">
                  <c:v>-4.2568809687123021</c:v>
                </c:pt>
                <c:pt idx="12">
                  <c:v>27.574352836010803</c:v>
                </c:pt>
                <c:pt idx="13">
                  <c:v>57.526440063732295</c:v>
                </c:pt>
                <c:pt idx="14">
                  <c:v>83.558195468047558</c:v>
                </c:pt>
                <c:pt idx="15">
                  <c:v>103.89559793766242</c:v>
                </c:pt>
                <c:pt idx="16">
                  <c:v>117.15268710341917</c:v>
                </c:pt>
                <c:pt idx="17">
                  <c:v>122.42601424704726</c:v>
                </c:pt>
                <c:pt idx="18">
                  <c:v>119.35621083829356</c:v>
                </c:pt>
                <c:pt idx="19">
                  <c:v>108.15247890637468</c:v>
                </c:pt>
                <c:pt idx="20">
                  <c:v>89.578334267408437</c:v>
                </c:pt>
                <c:pt idx="21">
                  <c:v>64.89957418331494</c:v>
                </c:pt>
                <c:pt idx="22">
                  <c:v>35.798015370245999</c:v>
                </c:pt>
                <c:pt idx="23">
                  <c:v>4.2568809687123172</c:v>
                </c:pt>
                <c:pt idx="24">
                  <c:v>-27.574352836010789</c:v>
                </c:pt>
              </c:numCache>
            </c:numRef>
          </c:yVal>
          <c:smooth val="1"/>
          <c:extLst>
            <c:ext xmlns:c16="http://schemas.microsoft.com/office/drawing/2014/chart" uri="{C3380CC4-5D6E-409C-BE32-E72D297353CC}">
              <c16:uniqueId val="{00000060-A4BD-6C4C-88C9-B139B3177669}"/>
            </c:ext>
          </c:extLst>
        </c:ser>
        <c:dLbls>
          <c:showLegendKey val="0"/>
          <c:showVal val="0"/>
          <c:showCatName val="0"/>
          <c:showSerName val="0"/>
          <c:showPercent val="0"/>
          <c:showBubbleSize val="0"/>
        </c:dLbls>
        <c:axId val="701200784"/>
        <c:axId val="1"/>
      </c:scatterChart>
      <c:scatterChart>
        <c:scatterStyle val="lineMarker"/>
        <c:varyColors val="0"/>
        <c:ser>
          <c:idx val="5"/>
          <c:order val="18"/>
          <c:spPr>
            <a:ln w="25400">
              <a:solidFill>
                <a:srgbClr val="FEA746"/>
              </a:solidFill>
              <a:prstDash val="solid"/>
            </a:ln>
          </c:spPr>
          <c:marker>
            <c:symbol val="circle"/>
            <c:size val="16"/>
            <c:spPr>
              <a:solidFill>
                <a:srgbClr val="FEA746"/>
              </a:solidFill>
              <a:ln>
                <a:solidFill>
                  <a:srgbClr val="0000D4"/>
                </a:solidFill>
                <a:prstDash val="solid"/>
              </a:ln>
            </c:spPr>
          </c:marker>
          <c:xVal>
            <c:numRef>
              <c:f>Calculations!$AS$10</c:f>
              <c:numCache>
                <c:formatCode>#,##0.00</c:formatCode>
                <c:ptCount val="1"/>
                <c:pt idx="0">
                  <c:v>-75.706610288227324</c:v>
                </c:pt>
              </c:numCache>
            </c:numRef>
          </c:xVal>
          <c:yVal>
            <c:numRef>
              <c:f>Calculations!$AT$10</c:f>
              <c:numCache>
                <c:formatCode>#,##0.00</c:formatCode>
                <c:ptCount val="1"/>
                <c:pt idx="0">
                  <c:v>25.698931286448616</c:v>
                </c:pt>
              </c:numCache>
            </c:numRef>
          </c:yVal>
          <c:smooth val="1"/>
          <c:extLst>
            <c:ext xmlns:c16="http://schemas.microsoft.com/office/drawing/2014/chart" uri="{C3380CC4-5D6E-409C-BE32-E72D297353CC}">
              <c16:uniqueId val="{00000061-A4BD-6C4C-88C9-B139B3177669}"/>
            </c:ext>
          </c:extLst>
        </c:ser>
        <c:ser>
          <c:idx val="22"/>
          <c:order val="23"/>
          <c:spPr>
            <a:ln w="38100">
              <a:solidFill>
                <a:srgbClr val="FFFFFF"/>
              </a:solidFill>
              <a:prstDash val="solid"/>
            </a:ln>
          </c:spPr>
          <c:marker>
            <c:symbol val="none"/>
          </c:marker>
          <c:dPt>
            <c:idx val="27"/>
            <c:bubble3D val="0"/>
            <c:extLst>
              <c:ext xmlns:c16="http://schemas.microsoft.com/office/drawing/2014/chart" uri="{C3380CC4-5D6E-409C-BE32-E72D297353CC}">
                <c16:uniqueId val="{00000063-A4BD-6C4C-88C9-B139B3177669}"/>
              </c:ext>
            </c:extLst>
          </c:dPt>
          <c:dPt>
            <c:idx val="36"/>
            <c:marker>
              <c:symbol val="circle"/>
              <c:size val="12"/>
              <c:spPr>
                <a:solidFill>
                  <a:srgbClr val="FCF305"/>
                </a:solidFill>
                <a:ln>
                  <a:solidFill>
                    <a:srgbClr val="0000D4"/>
                  </a:solidFill>
                  <a:prstDash val="solid"/>
                </a:ln>
              </c:spPr>
            </c:marker>
            <c:bubble3D val="0"/>
            <c:extLst>
              <c:ext xmlns:c16="http://schemas.microsoft.com/office/drawing/2014/chart" uri="{C3380CC4-5D6E-409C-BE32-E72D297353CC}">
                <c16:uniqueId val="{00000065-A4BD-6C4C-88C9-B139B3177669}"/>
              </c:ext>
            </c:extLst>
          </c:dPt>
          <c:dPt>
            <c:idx val="37"/>
            <c:bubble3D val="0"/>
            <c:spPr>
              <a:ln w="38100">
                <a:solidFill>
                  <a:srgbClr val="0000D4"/>
                </a:solidFill>
                <a:prstDash val="solid"/>
              </a:ln>
            </c:spPr>
            <c:extLst>
              <c:ext xmlns:c16="http://schemas.microsoft.com/office/drawing/2014/chart" uri="{C3380CC4-5D6E-409C-BE32-E72D297353CC}">
                <c16:uniqueId val="{00000067-A4BD-6C4C-88C9-B139B3177669}"/>
              </c:ext>
            </c:extLst>
          </c:dPt>
          <c:dPt>
            <c:idx val="40"/>
            <c:bubble3D val="0"/>
            <c:extLst>
              <c:ext xmlns:c16="http://schemas.microsoft.com/office/drawing/2014/chart" uri="{C3380CC4-5D6E-409C-BE32-E72D297353CC}">
                <c16:uniqueId val="{00000069-A4BD-6C4C-88C9-B139B3177669}"/>
              </c:ext>
            </c:extLst>
          </c:dPt>
          <c:dLbls>
            <c:dLbl>
              <c:idx val="40"/>
              <c:tx>
                <c:rich>
                  <a:bodyPr/>
                  <a:lstStyle/>
                  <a:p>
                    <a:pPr>
                      <a:defRPr sz="900" b="1" i="0" u="none" strike="noStrike" baseline="0">
                        <a:solidFill>
                          <a:srgbClr val="003366"/>
                        </a:solidFill>
                        <a:latin typeface="Verdana"/>
                        <a:ea typeface="Verdana"/>
                        <a:cs typeface="Verdana"/>
                      </a:defRPr>
                    </a:pPr>
                    <a:r>
                      <a:rPr lang="en-US"/>
                      <a:t>GEMINI</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9-A4BD-6C4C-88C9-B139B3177669}"/>
                </c:ext>
              </c:extLst>
            </c:dLbl>
            <c:dLbl>
              <c:idx val="42"/>
              <c:tx>
                <c:rich>
                  <a:bodyPr/>
                  <a:lstStyle/>
                  <a:p>
                    <a:pPr>
                      <a:defRPr sz="900" b="1" i="0" u="none" strike="noStrike" baseline="0">
                        <a:solidFill>
                          <a:srgbClr val="003366"/>
                        </a:solidFill>
                        <a:latin typeface="Verdana"/>
                        <a:ea typeface="Verdana"/>
                        <a:cs typeface="Verdana"/>
                      </a:defRPr>
                    </a:pPr>
                    <a:r>
                      <a:rPr lang="en-US"/>
                      <a:t>CANCER</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A-A4BD-6C4C-88C9-B139B3177669}"/>
                </c:ext>
              </c:extLst>
            </c:dLbl>
            <c:dLbl>
              <c:idx val="44"/>
              <c:tx>
                <c:rich>
                  <a:bodyPr/>
                  <a:lstStyle/>
                  <a:p>
                    <a:pPr>
                      <a:defRPr sz="900" b="1" i="0" u="none" strike="noStrike" baseline="0">
                        <a:solidFill>
                          <a:srgbClr val="003366"/>
                        </a:solidFill>
                        <a:latin typeface="Verdana"/>
                        <a:ea typeface="Verdana"/>
                        <a:cs typeface="Verdana"/>
                      </a:defRPr>
                    </a:pPr>
                    <a:r>
                      <a:rPr lang="en-US"/>
                      <a:t>LEO</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B-A4BD-6C4C-88C9-B139B3177669}"/>
                </c:ext>
              </c:extLst>
            </c:dLbl>
            <c:dLbl>
              <c:idx val="46"/>
              <c:tx>
                <c:rich>
                  <a:bodyPr/>
                  <a:lstStyle/>
                  <a:p>
                    <a:pPr>
                      <a:defRPr sz="900" b="1" i="0" u="none" strike="noStrike" baseline="0">
                        <a:solidFill>
                          <a:srgbClr val="003366"/>
                        </a:solidFill>
                        <a:latin typeface="Verdana"/>
                        <a:ea typeface="Verdana"/>
                        <a:cs typeface="Verdana"/>
                      </a:defRPr>
                    </a:pPr>
                    <a:r>
                      <a:rPr lang="en-US"/>
                      <a:t>VIRGO</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C-A4BD-6C4C-88C9-B139B3177669}"/>
                </c:ext>
              </c:extLst>
            </c:dLbl>
            <c:dLbl>
              <c:idx val="48"/>
              <c:tx>
                <c:rich>
                  <a:bodyPr/>
                  <a:lstStyle/>
                  <a:p>
                    <a:pPr>
                      <a:defRPr sz="900" b="1" i="0" u="none" strike="noStrike" baseline="0">
                        <a:solidFill>
                          <a:srgbClr val="003366"/>
                        </a:solidFill>
                        <a:latin typeface="Verdana"/>
                        <a:ea typeface="Verdana"/>
                        <a:cs typeface="Verdana"/>
                      </a:defRPr>
                    </a:pPr>
                    <a:r>
                      <a:rPr lang="en-US"/>
                      <a:t>ARIES</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D-A4BD-6C4C-88C9-B139B3177669}"/>
                </c:ext>
              </c:extLst>
            </c:dLbl>
            <c:dLbl>
              <c:idx val="50"/>
              <c:tx>
                <c:rich>
                  <a:bodyPr/>
                  <a:lstStyle/>
                  <a:p>
                    <a:pPr>
                      <a:defRPr sz="900" b="1" i="0" u="none" strike="noStrike" baseline="0">
                        <a:solidFill>
                          <a:srgbClr val="003366"/>
                        </a:solidFill>
                        <a:latin typeface="Verdana"/>
                        <a:ea typeface="Verdana"/>
                        <a:cs typeface="Verdana"/>
                      </a:defRPr>
                    </a:pPr>
                    <a:r>
                      <a:rPr lang="en-US"/>
                      <a:t>TAURUS</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E-A4BD-6C4C-88C9-B139B3177669}"/>
                </c:ext>
              </c:extLst>
            </c:dLbl>
            <c:dLbl>
              <c:idx val="52"/>
              <c:tx>
                <c:rich>
                  <a:bodyPr/>
                  <a:lstStyle/>
                  <a:p>
                    <a:pPr>
                      <a:defRPr sz="900" b="1" i="0" u="none" strike="noStrike" baseline="0">
                        <a:solidFill>
                          <a:srgbClr val="003366"/>
                        </a:solidFill>
                        <a:latin typeface="Verdana"/>
                        <a:ea typeface="Verdana"/>
                        <a:cs typeface="Verdana"/>
                      </a:defRPr>
                    </a:pPr>
                    <a:r>
                      <a:rPr lang="en-US"/>
                      <a:t>LIBRA</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F-A4BD-6C4C-88C9-B139B3177669}"/>
                </c:ext>
              </c:extLst>
            </c:dLbl>
            <c:dLbl>
              <c:idx val="54"/>
              <c:tx>
                <c:rich>
                  <a:bodyPr/>
                  <a:lstStyle/>
                  <a:p>
                    <a:pPr>
                      <a:defRPr sz="900" b="1" i="0" u="none" strike="noStrike" baseline="0">
                        <a:solidFill>
                          <a:srgbClr val="003366"/>
                        </a:solidFill>
                        <a:latin typeface="Verdana"/>
                        <a:ea typeface="Verdana"/>
                        <a:cs typeface="Verdana"/>
                      </a:defRPr>
                    </a:pPr>
                    <a:r>
                      <a:rPr lang="en-US"/>
                      <a:t>PISCES</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0-A4BD-6C4C-88C9-B139B3177669}"/>
                </c:ext>
              </c:extLst>
            </c:dLbl>
            <c:dLbl>
              <c:idx val="56"/>
              <c:tx>
                <c:rich>
                  <a:bodyPr/>
                  <a:lstStyle/>
                  <a:p>
                    <a:pPr>
                      <a:defRPr sz="900" b="1" i="0" u="none" strike="noStrike" baseline="0">
                        <a:solidFill>
                          <a:srgbClr val="003366"/>
                        </a:solidFill>
                        <a:latin typeface="Verdana"/>
                        <a:ea typeface="Verdana"/>
                        <a:cs typeface="Verdana"/>
                      </a:defRPr>
                    </a:pPr>
                    <a:r>
                      <a:rPr lang="en-US"/>
                      <a:t>SCO</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1-A4BD-6C4C-88C9-B139B3177669}"/>
                </c:ext>
              </c:extLst>
            </c:dLbl>
            <c:dLbl>
              <c:idx val="58"/>
              <c:tx>
                <c:rich>
                  <a:bodyPr/>
                  <a:lstStyle/>
                  <a:p>
                    <a:pPr>
                      <a:defRPr sz="900" b="1" i="0" u="none" strike="noStrike" baseline="0">
                        <a:solidFill>
                          <a:srgbClr val="003366"/>
                        </a:solidFill>
                        <a:latin typeface="Verdana"/>
                        <a:ea typeface="Verdana"/>
                        <a:cs typeface="Verdana"/>
                      </a:defRPr>
                    </a:pPr>
                    <a:r>
                      <a:rPr lang="en-US"/>
                      <a:t>SAG</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2-A4BD-6C4C-88C9-B139B3177669}"/>
                </c:ext>
              </c:extLst>
            </c:dLbl>
            <c:dLbl>
              <c:idx val="60"/>
              <c:tx>
                <c:rich>
                  <a:bodyPr/>
                  <a:lstStyle/>
                  <a:p>
                    <a:pPr>
                      <a:defRPr sz="900" b="1" i="0" u="none" strike="noStrike" baseline="0">
                        <a:solidFill>
                          <a:srgbClr val="003366"/>
                        </a:solidFill>
                        <a:latin typeface="Verdana"/>
                        <a:ea typeface="Verdana"/>
                        <a:cs typeface="Verdana"/>
                      </a:defRPr>
                    </a:pPr>
                    <a:r>
                      <a:rPr lang="en-US"/>
                      <a:t>CAP</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3-A4BD-6C4C-88C9-B139B3177669}"/>
                </c:ext>
              </c:extLst>
            </c:dLbl>
            <c:dLbl>
              <c:idx val="62"/>
              <c:tx>
                <c:rich>
                  <a:bodyPr/>
                  <a:lstStyle/>
                  <a:p>
                    <a:pPr>
                      <a:defRPr sz="900" b="1" i="0" u="none" strike="noStrike" baseline="0">
                        <a:solidFill>
                          <a:srgbClr val="003366"/>
                        </a:solidFill>
                        <a:latin typeface="Verdana"/>
                        <a:ea typeface="Verdana"/>
                        <a:cs typeface="Verdana"/>
                      </a:defRPr>
                    </a:pPr>
                    <a:r>
                      <a:rPr lang="en-US"/>
                      <a:t>AQU</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4-A4BD-6C4C-88C9-B139B31776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Calculations!$BH$10:$BH$72</c:f>
              <c:numCache>
                <c:formatCode>#,##0.00</c:formatCode>
                <c:ptCount val="63"/>
                <c:pt idx="0">
                  <c:v>-18.544817614115022</c:v>
                </c:pt>
                <c:pt idx="1">
                  <c:v>-14.835854091292017</c:v>
                </c:pt>
                <c:pt idx="3">
                  <c:v>-61.512667865655629</c:v>
                </c:pt>
                <c:pt idx="4">
                  <c:v>-48.032706709779163</c:v>
                </c:pt>
                <c:pt idx="6">
                  <c:v>-75.498196397613327</c:v>
                </c:pt>
                <c:pt idx="7">
                  <c:v>-54.47196637367292</c:v>
                </c:pt>
                <c:pt idx="9">
                  <c:v>-62.148498741833528</c:v>
                </c:pt>
                <c:pt idx="10">
                  <c:v>-39.306161836860568</c:v>
                </c:pt>
                <c:pt idx="12">
                  <c:v>-37.913963941450838</c:v>
                </c:pt>
                <c:pt idx="13">
                  <c:v>-21.019515809123728</c:v>
                </c:pt>
                <c:pt idx="15">
                  <c:v>-14.020459944076141</c:v>
                </c:pt>
                <c:pt idx="16">
                  <c:v>-7.182072008347574</c:v>
                </c:pt>
                <c:pt idx="18">
                  <c:v>7.4179270456460085</c:v>
                </c:pt>
                <c:pt idx="19">
                  <c:v>3.7089635228230042</c:v>
                </c:pt>
                <c:pt idx="21">
                  <c:v>27.637398932316131</c:v>
                </c:pt>
                <c:pt idx="22">
                  <c:v>14.15743777643968</c:v>
                </c:pt>
                <c:pt idx="24">
                  <c:v>47.186372748508319</c:v>
                </c:pt>
                <c:pt idx="25">
                  <c:v>26.160142724567905</c:v>
                </c:pt>
                <c:pt idx="27">
                  <c:v>62.148498741833542</c:v>
                </c:pt>
                <c:pt idx="28">
                  <c:v>39.306161836860561</c:v>
                </c:pt>
                <c:pt idx="30">
                  <c:v>60.6623423063213</c:v>
                </c:pt>
                <c:pt idx="31">
                  <c:v>43.7678941739942</c:v>
                </c:pt>
                <c:pt idx="33">
                  <c:v>31.205393024712155</c:v>
                </c:pt>
                <c:pt idx="34">
                  <c:v>24.367005088983582</c:v>
                </c:pt>
                <c:pt idx="36">
                  <c:v>79.017376971759788</c:v>
                </c:pt>
                <c:pt idx="37">
                  <c:v>63.036334438145445</c:v>
                </c:pt>
                <c:pt idx="40">
                  <c:v>8.184769466710069</c:v>
                </c:pt>
                <c:pt idx="42">
                  <c:v>-38.174260978473825</c:v>
                </c:pt>
                <c:pt idx="44">
                  <c:v>-61.765451553696245</c:v>
                </c:pt>
                <c:pt idx="46">
                  <c:v>-58.310232557753224</c:v>
                </c:pt>
                <c:pt idx="48">
                  <c:v>52.958196457913871</c:v>
                </c:pt>
                <c:pt idx="50">
                  <c:v>42.514673697652441</c:v>
                </c:pt>
                <c:pt idx="52">
                  <c:v>-38.610062889155699</c:v>
                </c:pt>
                <c:pt idx="54">
                  <c:v>43.246267292684436</c:v>
                </c:pt>
                <c:pt idx="56">
                  <c:v>-17.519987876599934</c:v>
                </c:pt>
                <c:pt idx="58">
                  <c:v>0.11792751864921724</c:v>
                </c:pt>
                <c:pt idx="60">
                  <c:v>15.673181227569568</c:v>
                </c:pt>
                <c:pt idx="62">
                  <c:v>26.898770828442018</c:v>
                </c:pt>
              </c:numCache>
            </c:numRef>
          </c:xVal>
          <c:yVal>
            <c:numRef>
              <c:f>Calculations!$BI$10:$BI$72</c:f>
              <c:numCache>
                <c:formatCode>#,##0.00</c:formatCode>
                <c:ptCount val="63"/>
                <c:pt idx="0">
                  <c:v>98.265404592151398</c:v>
                </c:pt>
                <c:pt idx="1">
                  <c:v>78.612323673721122</c:v>
                </c:pt>
                <c:pt idx="3">
                  <c:v>71.547239476779566</c:v>
                </c:pt>
                <c:pt idx="4">
                  <c:v>55.868290043736629</c:v>
                </c:pt>
                <c:pt idx="6">
                  <c:v>26.457935306962398</c:v>
                </c:pt>
                <c:pt idx="7">
                  <c:v>19.089406517308927</c:v>
                </c:pt>
                <c:pt idx="9">
                  <c:v>-11.728772490602596</c:v>
                </c:pt>
                <c:pt idx="10">
                  <c:v>-7.4179270456460076</c:v>
                </c:pt>
                <c:pt idx="12">
                  <c:v>-32.596492729224224</c:v>
                </c:pt>
                <c:pt idx="13">
                  <c:v>-18.071507777503477</c:v>
                </c:pt>
                <c:pt idx="15">
                  <c:v>-40.007635749422285</c:v>
                </c:pt>
                <c:pt idx="16">
                  <c:v>-20.494172229884377</c:v>
                </c:pt>
                <c:pt idx="18">
                  <c:v>-39.306161836860561</c:v>
                </c:pt>
                <c:pt idx="19">
                  <c:v>-19.65308091843028</c:v>
                </c:pt>
                <c:pt idx="21">
                  <c:v>-32.145892359023222</c:v>
                </c:pt>
                <c:pt idx="22">
                  <c:v>-16.466942925980312</c:v>
                </c:pt>
                <c:pt idx="24">
                  <c:v>-16.536209566851507</c:v>
                </c:pt>
                <c:pt idx="25">
                  <c:v>-9.1676807771980293</c:v>
                </c:pt>
                <c:pt idx="27">
                  <c:v>11.728772490602591</c:v>
                </c:pt>
                <c:pt idx="28">
                  <c:v>7.4179270456460022</c:v>
                </c:pt>
                <c:pt idx="30">
                  <c:v>52.154388366758752</c:v>
                </c:pt>
                <c:pt idx="31">
                  <c:v>37.629403415038006</c:v>
                </c:pt>
                <c:pt idx="33">
                  <c:v>89.045152764602207</c:v>
                </c:pt>
                <c:pt idx="34">
                  <c:v>69.5316892450643</c:v>
                </c:pt>
                <c:pt idx="36">
                  <c:v>14.912296452337579</c:v>
                </c:pt>
                <c:pt idx="37">
                  <c:v>11.896326383325484</c:v>
                </c:pt>
                <c:pt idx="40">
                  <c:v>83.828738219161664</c:v>
                </c:pt>
                <c:pt idx="42">
                  <c:v>75.079781575250337</c:v>
                </c:pt>
                <c:pt idx="44">
                  <c:v>41.16311267534951</c:v>
                </c:pt>
                <c:pt idx="46">
                  <c:v>3.6803170133531653</c:v>
                </c:pt>
                <c:pt idx="48">
                  <c:v>24.679087952820296</c:v>
                </c:pt>
                <c:pt idx="50">
                  <c:v>60.843038805911526</c:v>
                </c:pt>
                <c:pt idx="52">
                  <c:v>-20.007209887435117</c:v>
                </c:pt>
                <c:pt idx="54">
                  <c:v>-4.5591412606027522</c:v>
                </c:pt>
                <c:pt idx="56">
                  <c:v>-29.039571763462881</c:v>
                </c:pt>
                <c:pt idx="58">
                  <c:v>-29.900167033372469</c:v>
                </c:pt>
                <c:pt idx="60">
                  <c:v>-25.899486638726749</c:v>
                </c:pt>
                <c:pt idx="62">
                  <c:v>-20.656786568110626</c:v>
                </c:pt>
              </c:numCache>
            </c:numRef>
          </c:yVal>
          <c:smooth val="0"/>
          <c:extLst>
            <c:ext xmlns:c16="http://schemas.microsoft.com/office/drawing/2014/chart" uri="{C3380CC4-5D6E-409C-BE32-E72D297353CC}">
              <c16:uniqueId val="{00000075-A4BD-6C4C-88C9-B139B3177669}"/>
            </c:ext>
          </c:extLst>
        </c:ser>
        <c:dLbls>
          <c:showLegendKey val="0"/>
          <c:showVal val="0"/>
          <c:showCatName val="0"/>
          <c:showSerName val="0"/>
          <c:showPercent val="0"/>
          <c:showBubbleSize val="0"/>
        </c:dLbls>
        <c:axId val="3"/>
        <c:axId val="4"/>
      </c:scatterChart>
      <c:valAx>
        <c:axId val="701200784"/>
        <c:scaling>
          <c:orientation val="minMax"/>
          <c:max val="130"/>
          <c:min val="-130"/>
        </c:scaling>
        <c:delete val="1"/>
        <c:axPos val="b"/>
        <c:numFmt formatCode="#,##0.00" sourceLinked="1"/>
        <c:majorTickMark val="out"/>
        <c:minorTickMark val="none"/>
        <c:tickLblPos val="nextTo"/>
        <c:crossAx val="1"/>
        <c:crosses val="autoZero"/>
        <c:crossBetween val="midCat"/>
        <c:majorUnit val="20"/>
      </c:valAx>
      <c:valAx>
        <c:axId val="1"/>
        <c:scaling>
          <c:orientation val="minMax"/>
          <c:max val="130"/>
          <c:min val="-130"/>
        </c:scaling>
        <c:delete val="1"/>
        <c:axPos val="l"/>
        <c:numFmt formatCode="#,##0.00" sourceLinked="1"/>
        <c:majorTickMark val="out"/>
        <c:minorTickMark val="none"/>
        <c:tickLblPos val="nextTo"/>
        <c:crossAx val="701200784"/>
        <c:crosses val="autoZero"/>
        <c:crossBetween val="midCat"/>
        <c:majorUnit val="20"/>
      </c:valAx>
      <c:valAx>
        <c:axId val="3"/>
        <c:scaling>
          <c:orientation val="minMax"/>
        </c:scaling>
        <c:delete val="1"/>
        <c:axPos val="b"/>
        <c:numFmt formatCode="#,##0.00" sourceLinked="1"/>
        <c:majorTickMark val="out"/>
        <c:minorTickMark val="none"/>
        <c:tickLblPos val="nextTo"/>
        <c:crossAx val="4"/>
        <c:crosses val="autoZero"/>
        <c:crossBetween val="midCat"/>
      </c:valAx>
      <c:valAx>
        <c:axId val="4"/>
        <c:scaling>
          <c:orientation val="minMax"/>
        </c:scaling>
        <c:delete val="1"/>
        <c:axPos val="r"/>
        <c:numFmt formatCode="#,##0.00" sourceLinked="1"/>
        <c:majorTickMark val="out"/>
        <c:minorTickMark val="none"/>
        <c:tickLblPos val="nextTo"/>
        <c:crossAx val="3"/>
        <c:crosses val="max"/>
        <c:crossBetween val="midCat"/>
      </c:valAx>
      <c:spPr>
        <a:solidFill>
          <a:srgbClr val="BDB8BB"/>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Verdana"/>
          <a:ea typeface="Verdana"/>
          <a:cs typeface="Verdana"/>
        </a:defRPr>
      </a:pPr>
      <a:endParaRPr lang="en-CH"/>
    </a:p>
  </c:txPr>
  <c:printSettings>
    <c:headerFooter alignWithMargins="0"/>
    <c:pageMargins b="1" l="0.75" r="0.75" t="1" header="0.5" footer="0.5"/>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astronomy-morsels.ch/morsels"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19</xdr:row>
      <xdr:rowOff>152400</xdr:rowOff>
    </xdr:from>
    <xdr:to>
      <xdr:col>10</xdr:col>
      <xdr:colOff>817033</xdr:colOff>
      <xdr:row>57</xdr:row>
      <xdr:rowOff>63500</xdr:rowOff>
    </xdr:to>
    <xdr:pic>
      <xdr:nvPicPr>
        <xdr:cNvPr id="2" name="Picture 1" descr="Prague Astronomical Clock - What You Must Know Before You Go">
          <a:extLst>
            <a:ext uri="{FF2B5EF4-FFF2-40B4-BE49-F238E27FC236}">
              <a16:creationId xmlns:a16="http://schemas.microsoft.com/office/drawing/2014/main" id="{D2E85E23-0D41-D0B9-9A55-975334517E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4445000"/>
          <a:ext cx="8246533" cy="618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533400</xdr:colOff>
      <xdr:row>66</xdr:row>
      <xdr:rowOff>63500</xdr:rowOff>
    </xdr:from>
    <xdr:to>
      <xdr:col>9</xdr:col>
      <xdr:colOff>152400</xdr:colOff>
      <xdr:row>78</xdr:row>
      <xdr:rowOff>25400</xdr:rowOff>
    </xdr:to>
    <xdr:pic>
      <xdr:nvPicPr>
        <xdr:cNvPr id="3" name="Picture 2">
          <a:hlinkClick xmlns:r="http://schemas.openxmlformats.org/officeDocument/2006/relationships" r:id="rId2"/>
          <a:extLst>
            <a:ext uri="{FF2B5EF4-FFF2-40B4-BE49-F238E27FC236}">
              <a16:creationId xmlns:a16="http://schemas.microsoft.com/office/drawing/2014/main" id="{73B6CEED-8792-D0A1-AAAB-C90EA38ED907}"/>
            </a:ext>
          </a:extLst>
        </xdr:cNvPr>
        <xdr:cNvPicPr>
          <a:picLocks noChangeAspect="1"/>
        </xdr:cNvPicPr>
      </xdr:nvPicPr>
      <xdr:blipFill>
        <a:blip xmlns:r="http://schemas.openxmlformats.org/officeDocument/2006/relationships" r:embed="rId3"/>
        <a:stretch>
          <a:fillRect/>
        </a:stretch>
      </xdr:blipFill>
      <xdr:spPr>
        <a:xfrm>
          <a:off x="2184400" y="11747500"/>
          <a:ext cx="5397500" cy="1943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25400</xdr:rowOff>
    </xdr:from>
    <xdr:to>
      <xdr:col>11</xdr:col>
      <xdr:colOff>0</xdr:colOff>
      <xdr:row>47</xdr:row>
      <xdr:rowOff>12700</xdr:rowOff>
    </xdr:to>
    <xdr:graphicFrame macro="">
      <xdr:nvGraphicFramePr>
        <xdr:cNvPr id="3086" name="Chart 8">
          <a:extLst>
            <a:ext uri="{FF2B5EF4-FFF2-40B4-BE49-F238E27FC236}">
              <a16:creationId xmlns:a16="http://schemas.microsoft.com/office/drawing/2014/main" id="{DB744F75-4344-3C18-DF73-25A63E2952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0.05367</cdr:x>
      <cdr:y>0.06716</cdr:y>
    </cdr:from>
    <cdr:to>
      <cdr:x>0.06993</cdr:x>
      <cdr:y>0.10512</cdr:y>
    </cdr:to>
    <cdr:sp macro="" textlink="">
      <cdr:nvSpPr>
        <cdr:cNvPr id="33793" name="Text Box 1"/>
        <cdr:cNvSpPr txBox="1">
          <a:spLocks xmlns:a="http://schemas.openxmlformats.org/drawingml/2006/main" noChangeArrowheads="1"/>
        </cdr:cNvSpPr>
      </cdr:nvSpPr>
      <cdr:spPr bwMode="auto">
        <a:xfrm xmlns:a="http://schemas.openxmlformats.org/drawingml/2006/main">
          <a:off x="350295" y="459261"/>
          <a:ext cx="105141" cy="25779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0.03446</cdr:x>
      <cdr:y>0.86506</cdr:y>
    </cdr:from>
    <cdr:to>
      <cdr:x>0.24246</cdr:x>
      <cdr:y>0.93443</cdr:y>
    </cdr:to>
    <cdr:sp macro="" textlink="">
      <cdr:nvSpPr>
        <cdr:cNvPr id="33794" name="Text Box 2"/>
        <cdr:cNvSpPr txBox="1">
          <a:spLocks xmlns:a="http://schemas.openxmlformats.org/drawingml/2006/main" noChangeArrowheads="1"/>
        </cdr:cNvSpPr>
      </cdr:nvSpPr>
      <cdr:spPr bwMode="auto">
        <a:xfrm xmlns:a="http://schemas.openxmlformats.org/drawingml/2006/main">
          <a:off x="222322" y="5987513"/>
          <a:ext cx="1341906" cy="4801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27432" tIns="18288" rIns="0" bIns="0" anchor="t" upright="1">
          <a:spAutoFit/>
        </a:bodyPr>
        <a:lstStyle xmlns:a="http://schemas.openxmlformats.org/drawingml/2006/main"/>
        <a:p xmlns:a="http://schemas.openxmlformats.org/drawingml/2006/main">
          <a:pPr algn="l" rtl="0">
            <a:lnSpc>
              <a:spcPts val="900"/>
            </a:lnSpc>
            <a:defRPr sz="1000"/>
          </a:pPr>
          <a:r>
            <a:rPr lang="de-CH" sz="900" b="1" i="0" strike="noStrike">
              <a:solidFill>
                <a:srgbClr val="003366"/>
              </a:solidFill>
              <a:latin typeface="Verdana"/>
            </a:rPr>
            <a:t>SCO=SCORPIO</a:t>
          </a:r>
        </a:p>
        <a:p xmlns:a="http://schemas.openxmlformats.org/drawingml/2006/main">
          <a:pPr algn="l" rtl="0">
            <a:lnSpc>
              <a:spcPts val="900"/>
            </a:lnSpc>
            <a:defRPr sz="1000"/>
          </a:pPr>
          <a:r>
            <a:rPr lang="de-CH" sz="900" b="1" i="0" strike="noStrike">
              <a:solidFill>
                <a:srgbClr val="003366"/>
              </a:solidFill>
              <a:latin typeface="Verdana"/>
            </a:rPr>
            <a:t>AQU=AQUARIUS</a:t>
          </a:r>
        </a:p>
        <a:p xmlns:a="http://schemas.openxmlformats.org/drawingml/2006/main">
          <a:pPr algn="l" rtl="0">
            <a:lnSpc>
              <a:spcPts val="900"/>
            </a:lnSpc>
            <a:defRPr sz="1000"/>
          </a:pPr>
          <a:r>
            <a:rPr lang="de-CH" sz="900" b="1" i="0" strike="noStrike">
              <a:solidFill>
                <a:srgbClr val="003366"/>
              </a:solidFill>
              <a:latin typeface="Verdana"/>
            </a:rPr>
            <a:t>SAG=SAGITARIUS</a:t>
          </a:r>
        </a:p>
        <a:p xmlns:a="http://schemas.openxmlformats.org/drawingml/2006/main">
          <a:pPr algn="l" rtl="0">
            <a:lnSpc>
              <a:spcPts val="900"/>
            </a:lnSpc>
            <a:defRPr sz="1000"/>
          </a:pPr>
          <a:r>
            <a:rPr lang="de-CH" sz="900" b="1" i="0" strike="noStrike">
              <a:solidFill>
                <a:srgbClr val="003366"/>
              </a:solidFill>
              <a:latin typeface="Verdana"/>
            </a:rPr>
            <a:t>CAP=CAPRICORNUS</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astronomy-morsels.ch/" TargetMode="External"/><Relationship Id="rId1" Type="http://schemas.openxmlformats.org/officeDocument/2006/relationships/hyperlink" Target="mailto:anton@astronomy-morsels.ch?subject=Eclipse%20Dat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64"/>
  <sheetViews>
    <sheetView showGridLines="0" tabSelected="1" workbookViewId="0">
      <selection activeCell="B12" sqref="A1:XFD1048576"/>
    </sheetView>
  </sheetViews>
  <sheetFormatPr baseColWidth="10" defaultRowHeight="13" x14ac:dyDescent="0.15"/>
  <cols>
    <col min="1" max="16384" width="10.83203125" style="91"/>
  </cols>
  <sheetData>
    <row r="1" spans="2:11" s="89" customFormat="1" ht="16" x14ac:dyDescent="0.2"/>
    <row r="2" spans="2:11" s="89" customFormat="1" ht="15" customHeight="1" x14ac:dyDescent="0.2"/>
    <row r="3" spans="2:11" s="89" customFormat="1" ht="16" customHeight="1" x14ac:dyDescent="0.2">
      <c r="B3" s="79" t="s">
        <v>63</v>
      </c>
      <c r="C3" s="79"/>
      <c r="D3" s="79"/>
      <c r="E3" s="79"/>
      <c r="F3" s="79"/>
      <c r="G3" s="79"/>
      <c r="H3" s="79"/>
      <c r="I3" s="79"/>
      <c r="J3" s="79"/>
      <c r="K3" s="79"/>
    </row>
    <row r="4" spans="2:11" s="89" customFormat="1" ht="16" customHeight="1" x14ac:dyDescent="0.2">
      <c r="B4" s="79"/>
      <c r="C4" s="79"/>
      <c r="D4" s="79"/>
      <c r="E4" s="79"/>
      <c r="F4" s="79"/>
      <c r="G4" s="79"/>
      <c r="H4" s="79"/>
      <c r="I4" s="79"/>
      <c r="J4" s="79"/>
      <c r="K4" s="79"/>
    </row>
    <row r="5" spans="2:11" s="89" customFormat="1" ht="16" customHeight="1" x14ac:dyDescent="0.2">
      <c r="B5" s="79"/>
      <c r="C5" s="79"/>
      <c r="D5" s="79"/>
      <c r="E5" s="79"/>
      <c r="F5" s="79"/>
      <c r="G5" s="79"/>
      <c r="H5" s="79"/>
      <c r="I5" s="79"/>
      <c r="J5" s="79"/>
      <c r="K5" s="79"/>
    </row>
    <row r="6" spans="2:11" s="89" customFormat="1" ht="16" customHeight="1" x14ac:dyDescent="0.2">
      <c r="B6" s="79"/>
      <c r="C6" s="79"/>
      <c r="D6" s="79"/>
      <c r="E6" s="79"/>
      <c r="F6" s="79"/>
      <c r="G6" s="79"/>
      <c r="H6" s="79"/>
      <c r="I6" s="79"/>
      <c r="J6" s="79"/>
      <c r="K6" s="79"/>
    </row>
    <row r="7" spans="2:11" s="89" customFormat="1" ht="16" customHeight="1" x14ac:dyDescent="0.2">
      <c r="B7" s="79"/>
      <c r="C7" s="79"/>
      <c r="D7" s="79"/>
      <c r="E7" s="79"/>
      <c r="F7" s="79"/>
      <c r="G7" s="79"/>
      <c r="H7" s="79"/>
      <c r="I7" s="79"/>
      <c r="J7" s="79"/>
      <c r="K7" s="79"/>
    </row>
    <row r="8" spans="2:11" s="89" customFormat="1" ht="16" customHeight="1" x14ac:dyDescent="0.2">
      <c r="B8" s="79"/>
      <c r="C8" s="79"/>
      <c r="D8" s="79"/>
      <c r="E8" s="79"/>
      <c r="F8" s="79"/>
      <c r="G8" s="79"/>
      <c r="H8" s="79"/>
      <c r="I8" s="79"/>
      <c r="J8" s="79"/>
      <c r="K8" s="79"/>
    </row>
    <row r="9" spans="2:11" s="89" customFormat="1" ht="16" customHeight="1" x14ac:dyDescent="0.2">
      <c r="B9" s="79"/>
      <c r="C9" s="79"/>
      <c r="D9" s="79"/>
      <c r="E9" s="79"/>
      <c r="F9" s="79"/>
      <c r="G9" s="79"/>
      <c r="H9" s="79"/>
      <c r="I9" s="79"/>
      <c r="J9" s="79"/>
      <c r="K9" s="79"/>
    </row>
    <row r="10" spans="2:11" s="89" customFormat="1" ht="16" x14ac:dyDescent="0.2"/>
    <row r="11" spans="2:11" s="89" customFormat="1" ht="16" x14ac:dyDescent="0.2"/>
    <row r="12" spans="2:11" s="89" customFormat="1" ht="16" x14ac:dyDescent="0.2"/>
    <row r="13" spans="2:11" s="89" customFormat="1" ht="19" x14ac:dyDescent="0.25">
      <c r="D13" s="67" t="s">
        <v>78</v>
      </c>
      <c r="E13" s="68"/>
      <c r="F13" s="69"/>
      <c r="G13" s="69"/>
      <c r="H13" s="69"/>
      <c r="I13" s="70" t="s">
        <v>61</v>
      </c>
    </row>
    <row r="14" spans="2:11" s="89" customFormat="1" ht="19" x14ac:dyDescent="0.25">
      <c r="D14" s="71"/>
      <c r="E14" s="72"/>
      <c r="F14" s="73"/>
      <c r="G14" s="73"/>
      <c r="H14" s="73"/>
      <c r="I14" s="74"/>
    </row>
    <row r="15" spans="2:11" s="89" customFormat="1" ht="19" x14ac:dyDescent="0.25">
      <c r="D15" s="75" t="s">
        <v>79</v>
      </c>
      <c r="E15" s="76"/>
      <c r="F15" s="77"/>
      <c r="G15" s="77"/>
      <c r="H15" s="77"/>
      <c r="I15" s="78" t="s">
        <v>62</v>
      </c>
    </row>
    <row r="16" spans="2:11" s="89" customFormat="1" ht="16" x14ac:dyDescent="0.2"/>
    <row r="17" spans="4:9" s="89" customFormat="1" ht="16" x14ac:dyDescent="0.2">
      <c r="D17" s="90" t="s">
        <v>67</v>
      </c>
      <c r="E17" s="90"/>
      <c r="F17" s="90"/>
      <c r="G17" s="90"/>
      <c r="H17" s="90"/>
      <c r="I17" s="90"/>
    </row>
    <row r="62" spans="2:11" ht="16" x14ac:dyDescent="0.2">
      <c r="B62" s="80" t="s">
        <v>64</v>
      </c>
      <c r="C62" s="81"/>
      <c r="D62" s="81"/>
      <c r="E62" s="81"/>
      <c r="F62" s="81"/>
      <c r="G62" s="81"/>
      <c r="H62" s="81"/>
      <c r="I62" s="81"/>
      <c r="J62" s="81"/>
      <c r="K62" s="82"/>
    </row>
    <row r="63" spans="2:11" x14ac:dyDescent="0.15">
      <c r="B63" s="83" t="s">
        <v>65</v>
      </c>
      <c r="C63" s="84"/>
      <c r="D63" s="84"/>
      <c r="E63" s="84"/>
      <c r="F63" s="84"/>
      <c r="G63" s="84"/>
      <c r="H63" s="84"/>
      <c r="I63" s="84"/>
      <c r="J63" s="84"/>
      <c r="K63" s="85"/>
    </row>
    <row r="64" spans="2:11" x14ac:dyDescent="0.15">
      <c r="B64" s="86" t="s">
        <v>66</v>
      </c>
      <c r="C64" s="87"/>
      <c r="D64" s="87"/>
      <c r="E64" s="87"/>
      <c r="F64" s="87"/>
      <c r="G64" s="87"/>
      <c r="H64" s="87"/>
      <c r="I64" s="87"/>
      <c r="J64" s="87"/>
      <c r="K64" s="88"/>
    </row>
  </sheetData>
  <sheetProtection sheet="1" objects="1" scenarios="1"/>
  <mergeCells count="5">
    <mergeCell ref="B3:K9"/>
    <mergeCell ref="D17:I17"/>
    <mergeCell ref="B62:K62"/>
    <mergeCell ref="B63:K63"/>
    <mergeCell ref="B64:K64"/>
  </mergeCells>
  <hyperlinks>
    <hyperlink ref="I13" r:id="rId1" xr:uid="{00000000-0004-0000-0000-000000000000}"/>
    <hyperlink ref="B62" r:id="rId2" display="http://www.astronomy-morsels.ch/" xr:uid="{F440AABE-B893-DA4C-99D6-FD0D4A8AE133}"/>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4:X61"/>
  <sheetViews>
    <sheetView showGridLines="0" showRowColHeaders="0" zoomScaleNormal="100" workbookViewId="0">
      <selection activeCell="N43" sqref="N43"/>
    </sheetView>
  </sheetViews>
  <sheetFormatPr baseColWidth="10" defaultColWidth="11" defaultRowHeight="13" x14ac:dyDescent="0.15"/>
  <sheetData>
    <row r="4" spans="11:24" ht="15" x14ac:dyDescent="0.2">
      <c r="M4" s="3"/>
      <c r="N4" s="4" t="s">
        <v>60</v>
      </c>
      <c r="O4" s="3"/>
      <c r="P4" s="3"/>
      <c r="Q4" s="3"/>
      <c r="R4" s="3"/>
      <c r="S4" s="3"/>
      <c r="T4" s="3"/>
      <c r="U4" s="3"/>
      <c r="V4" s="3"/>
      <c r="W4" s="3"/>
      <c r="X4" s="3"/>
    </row>
    <row r="5" spans="11:24" ht="15" x14ac:dyDescent="0.2">
      <c r="M5" s="7"/>
      <c r="N5" s="8" t="s">
        <v>34</v>
      </c>
      <c r="O5" s="3"/>
      <c r="P5" s="3"/>
      <c r="Q5" s="3"/>
      <c r="R5" s="3"/>
      <c r="S5" s="3"/>
      <c r="T5" s="3"/>
      <c r="U5" s="3"/>
      <c r="V5" s="3"/>
      <c r="W5" s="3"/>
      <c r="X5" s="3"/>
    </row>
    <row r="6" spans="11:24" ht="15" x14ac:dyDescent="0.2">
      <c r="M6" s="9" t="s">
        <v>36</v>
      </c>
      <c r="N6" s="16">
        <v>45</v>
      </c>
      <c r="O6" s="3"/>
      <c r="P6" s="3"/>
      <c r="Q6" s="3"/>
      <c r="R6" s="3"/>
      <c r="S6" s="3"/>
      <c r="T6" s="3"/>
      <c r="U6" s="3"/>
      <c r="V6" s="3"/>
      <c r="W6" s="3"/>
      <c r="X6" s="3"/>
    </row>
    <row r="7" spans="11:24" ht="15" x14ac:dyDescent="0.2">
      <c r="M7" s="9" t="s">
        <v>37</v>
      </c>
      <c r="N7" s="16">
        <v>5</v>
      </c>
      <c r="O7" s="3"/>
      <c r="P7" s="3"/>
      <c r="Q7" s="3"/>
      <c r="R7" s="3"/>
      <c r="S7" s="3"/>
      <c r="T7" s="3"/>
      <c r="U7" s="3"/>
      <c r="V7" s="3"/>
      <c r="W7" s="3"/>
      <c r="X7" s="3"/>
    </row>
    <row r="8" spans="11:24" ht="15" x14ac:dyDescent="0.2">
      <c r="M8" s="9"/>
      <c r="N8" s="10"/>
      <c r="O8" s="3"/>
      <c r="P8" s="3"/>
      <c r="Q8" s="3"/>
      <c r="R8" s="3"/>
      <c r="S8" s="3"/>
      <c r="T8" s="3"/>
      <c r="U8" s="3"/>
      <c r="V8" s="3"/>
      <c r="W8" s="3"/>
      <c r="X8" s="3"/>
    </row>
    <row r="9" spans="11:24" ht="15" x14ac:dyDescent="0.2">
      <c r="M9" s="11"/>
      <c r="N9" s="10" t="s">
        <v>35</v>
      </c>
      <c r="O9" s="3"/>
      <c r="P9" s="3"/>
      <c r="Q9" s="3"/>
      <c r="R9" s="3"/>
      <c r="S9" s="3"/>
      <c r="T9" s="3"/>
      <c r="U9" s="3"/>
      <c r="V9" s="3"/>
      <c r="W9" s="3"/>
      <c r="X9" s="3"/>
    </row>
    <row r="10" spans="11:24" ht="15" x14ac:dyDescent="0.2">
      <c r="M10" s="9" t="s">
        <v>38</v>
      </c>
      <c r="N10" s="14">
        <v>21</v>
      </c>
      <c r="O10" s="3"/>
      <c r="P10" s="3"/>
      <c r="Q10" s="3"/>
      <c r="R10" s="3"/>
      <c r="S10" s="3"/>
      <c r="T10" s="3"/>
      <c r="U10" s="3"/>
      <c r="V10" s="3"/>
      <c r="W10" s="3"/>
      <c r="X10" s="3"/>
    </row>
    <row r="11" spans="11:24" ht="15" x14ac:dyDescent="0.2">
      <c r="M11" s="9" t="s">
        <v>39</v>
      </c>
      <c r="N11" s="13">
        <v>8</v>
      </c>
      <c r="O11" s="3"/>
      <c r="P11" s="3"/>
      <c r="Q11" s="3"/>
      <c r="R11" s="3"/>
      <c r="S11" s="3"/>
      <c r="T11" s="3"/>
      <c r="U11" s="3"/>
      <c r="V11" s="3"/>
      <c r="W11" s="3"/>
      <c r="X11" s="3"/>
    </row>
    <row r="12" spans="11:24" ht="15" x14ac:dyDescent="0.2">
      <c r="M12" s="9"/>
      <c r="N12" s="10"/>
      <c r="O12" s="3"/>
      <c r="P12" s="3"/>
      <c r="Q12" s="3"/>
      <c r="R12" s="3"/>
      <c r="S12" s="3"/>
      <c r="T12" s="3"/>
      <c r="U12" s="3"/>
      <c r="V12" s="3"/>
      <c r="W12" s="3"/>
      <c r="X12" s="3"/>
    </row>
    <row r="13" spans="11:24" ht="15" x14ac:dyDescent="0.2">
      <c r="M13" s="11"/>
      <c r="N13" s="10" t="s">
        <v>44</v>
      </c>
      <c r="O13" s="3"/>
      <c r="P13" s="3"/>
      <c r="Q13" s="3"/>
      <c r="R13" s="3"/>
      <c r="S13" s="3"/>
      <c r="T13" s="3"/>
      <c r="U13" s="3"/>
      <c r="V13" s="3"/>
      <c r="W13" s="3"/>
      <c r="X13" s="3"/>
    </row>
    <row r="14" spans="11:24" ht="15" x14ac:dyDescent="0.2">
      <c r="M14" s="9" t="s">
        <v>40</v>
      </c>
      <c r="N14" s="13">
        <v>7</v>
      </c>
      <c r="O14" s="3"/>
      <c r="P14" s="3"/>
      <c r="Q14" s="3"/>
      <c r="R14" s="3"/>
      <c r="S14" s="3"/>
      <c r="T14" s="3"/>
      <c r="U14" s="3"/>
      <c r="V14" s="3"/>
      <c r="W14" s="3"/>
      <c r="X14" s="3"/>
    </row>
    <row r="15" spans="11:24" ht="15" x14ac:dyDescent="0.2">
      <c r="M15" s="12" t="s">
        <v>37</v>
      </c>
      <c r="N15" s="15">
        <v>15</v>
      </c>
      <c r="O15" s="3"/>
      <c r="P15" s="3"/>
      <c r="Q15" s="3"/>
      <c r="R15" s="3"/>
      <c r="S15" s="3"/>
      <c r="T15" s="3"/>
      <c r="U15" s="3"/>
      <c r="V15" s="3"/>
      <c r="W15" s="3"/>
      <c r="X15" s="3"/>
    </row>
    <row r="16" spans="11:24" ht="15" x14ac:dyDescent="0.2">
      <c r="K16" s="3"/>
      <c r="L16" s="3"/>
      <c r="M16" s="3"/>
      <c r="N16" s="3"/>
      <c r="O16" s="3"/>
      <c r="P16" s="3"/>
      <c r="Q16" s="3"/>
      <c r="R16" s="3"/>
      <c r="S16" s="3"/>
      <c r="T16" s="3"/>
      <c r="U16" s="3"/>
      <c r="V16" s="3"/>
      <c r="W16" s="3"/>
      <c r="X16" s="3"/>
    </row>
    <row r="17" spans="10:24" ht="15" x14ac:dyDescent="0.2">
      <c r="K17" s="3"/>
      <c r="L17" s="3"/>
      <c r="M17" s="3"/>
      <c r="N17" s="3"/>
      <c r="O17" s="3"/>
      <c r="P17" s="3"/>
      <c r="Q17" s="3"/>
      <c r="R17" s="3"/>
      <c r="S17" s="3"/>
      <c r="T17" s="3"/>
      <c r="U17" s="3"/>
      <c r="V17" s="3"/>
      <c r="W17" s="3"/>
      <c r="X17" s="3"/>
    </row>
    <row r="18" spans="10:24" ht="15" x14ac:dyDescent="0.2">
      <c r="K18" s="3"/>
      <c r="L18" s="3"/>
      <c r="M18" s="3"/>
      <c r="N18" s="3"/>
      <c r="O18" s="3"/>
      <c r="P18" s="3"/>
      <c r="Q18" s="3"/>
      <c r="R18" s="3"/>
      <c r="S18" s="3"/>
      <c r="T18" s="3"/>
      <c r="U18" s="3"/>
      <c r="V18" s="3"/>
      <c r="W18" s="3"/>
      <c r="X18" s="3"/>
    </row>
    <row r="19" spans="10:24" ht="15" x14ac:dyDescent="0.2">
      <c r="K19" s="3"/>
      <c r="L19" s="3"/>
      <c r="M19" s="3"/>
      <c r="N19" s="3"/>
      <c r="O19" s="3"/>
      <c r="P19" s="3"/>
      <c r="Q19" s="3"/>
      <c r="R19" s="3"/>
      <c r="S19" s="3"/>
      <c r="T19" s="3"/>
      <c r="U19" s="3"/>
      <c r="V19" s="3"/>
      <c r="W19" s="3"/>
      <c r="X19" s="3"/>
    </row>
    <row r="20" spans="10:24" ht="15" x14ac:dyDescent="0.2">
      <c r="K20" s="3"/>
      <c r="L20" s="3"/>
      <c r="M20" s="3"/>
      <c r="N20" s="3"/>
      <c r="O20" s="3"/>
      <c r="P20" s="3"/>
      <c r="Q20" s="3"/>
      <c r="R20" s="3"/>
      <c r="S20" s="3"/>
      <c r="T20" s="3"/>
      <c r="U20" s="3"/>
      <c r="V20" s="3"/>
      <c r="W20" s="3"/>
      <c r="X20" s="3"/>
    </row>
    <row r="21" spans="10:24" ht="15" x14ac:dyDescent="0.2">
      <c r="K21" s="3"/>
      <c r="L21" s="3"/>
      <c r="M21" s="3"/>
      <c r="N21" s="3"/>
      <c r="O21" s="3"/>
      <c r="P21" s="3"/>
      <c r="Q21" s="3"/>
      <c r="R21" s="3"/>
      <c r="S21" s="3"/>
      <c r="T21" s="3"/>
      <c r="U21" s="3"/>
      <c r="V21" s="3"/>
      <c r="W21" s="3"/>
      <c r="X21" s="3"/>
    </row>
    <row r="22" spans="10:24" ht="15" x14ac:dyDescent="0.2">
      <c r="K22" s="3"/>
      <c r="L22" s="3"/>
      <c r="M22" s="3"/>
      <c r="N22" s="3"/>
      <c r="O22" s="3"/>
      <c r="P22" s="3"/>
      <c r="Q22" s="3"/>
      <c r="R22" s="3"/>
      <c r="S22" s="3"/>
      <c r="T22" s="3"/>
      <c r="U22" s="3"/>
      <c r="V22" s="3"/>
      <c r="W22" s="3"/>
      <c r="X22" s="3"/>
    </row>
    <row r="23" spans="10:24" ht="15" x14ac:dyDescent="0.2">
      <c r="K23" s="3"/>
      <c r="L23" s="3"/>
      <c r="M23" s="3"/>
      <c r="N23" s="3"/>
      <c r="O23" s="3"/>
      <c r="P23" s="3"/>
      <c r="Q23" s="3"/>
      <c r="R23" s="3"/>
      <c r="S23" s="3"/>
      <c r="T23" s="3"/>
      <c r="U23" s="3"/>
      <c r="V23" s="3"/>
      <c r="W23" s="3"/>
      <c r="X23" s="3"/>
    </row>
    <row r="24" spans="10:24" ht="15" x14ac:dyDescent="0.2">
      <c r="K24" s="3"/>
      <c r="L24" s="3"/>
      <c r="M24" s="3"/>
      <c r="N24" s="3"/>
      <c r="O24" s="3"/>
      <c r="P24" s="3"/>
      <c r="Q24" s="3"/>
      <c r="R24" s="3"/>
      <c r="S24" s="3"/>
      <c r="T24" s="3"/>
      <c r="U24" s="3"/>
      <c r="V24" s="3"/>
      <c r="W24" s="3"/>
      <c r="X24" s="3"/>
    </row>
    <row r="25" spans="10:24" ht="15" x14ac:dyDescent="0.2">
      <c r="K25" s="3"/>
      <c r="L25" s="3"/>
      <c r="M25" s="3"/>
      <c r="N25" s="3"/>
      <c r="O25" s="3"/>
      <c r="P25" s="3"/>
      <c r="Q25" s="3"/>
      <c r="R25" s="3"/>
      <c r="S25" s="3"/>
      <c r="T25" s="3"/>
      <c r="U25" s="3"/>
      <c r="V25" s="3"/>
      <c r="W25" s="3"/>
      <c r="X25" s="3"/>
    </row>
    <row r="26" spans="10:24" ht="15" x14ac:dyDescent="0.2">
      <c r="K26" s="3"/>
      <c r="L26" s="3"/>
      <c r="M26" s="3"/>
      <c r="N26" s="3"/>
      <c r="O26" s="3"/>
      <c r="P26" s="3"/>
      <c r="Q26" s="3"/>
      <c r="R26" s="3"/>
      <c r="S26" s="3"/>
      <c r="T26" s="3"/>
      <c r="U26" s="3"/>
      <c r="V26" s="3"/>
      <c r="W26" s="3"/>
      <c r="X26" s="3"/>
    </row>
    <row r="27" spans="10:24" ht="15" x14ac:dyDescent="0.2">
      <c r="K27" s="3"/>
      <c r="L27" s="3"/>
      <c r="M27" s="3"/>
      <c r="N27" s="3"/>
      <c r="O27" s="3"/>
      <c r="P27" s="3"/>
      <c r="Q27" s="3"/>
      <c r="R27" s="3"/>
      <c r="S27" s="3"/>
      <c r="T27" s="3"/>
      <c r="U27" s="3"/>
      <c r="V27" s="3"/>
      <c r="W27" s="3"/>
      <c r="X27" s="3"/>
    </row>
    <row r="28" spans="10:24" ht="15" x14ac:dyDescent="0.2">
      <c r="K28" s="3"/>
      <c r="L28" s="3"/>
      <c r="M28" s="3"/>
      <c r="N28" s="3"/>
      <c r="O28" s="3"/>
      <c r="P28" s="3"/>
      <c r="Q28" s="3"/>
      <c r="R28" s="3"/>
      <c r="S28" s="3"/>
      <c r="T28" s="3"/>
      <c r="U28" s="3"/>
      <c r="V28" s="3"/>
      <c r="W28" s="3"/>
      <c r="X28" s="3"/>
    </row>
    <row r="29" spans="10:24" ht="15" x14ac:dyDescent="0.2">
      <c r="K29" s="3"/>
      <c r="L29" s="3"/>
      <c r="M29" s="3"/>
      <c r="N29" s="3"/>
      <c r="O29" s="3"/>
      <c r="P29" s="3"/>
      <c r="Q29" s="3"/>
      <c r="R29" s="3"/>
      <c r="S29" s="3"/>
      <c r="T29" s="3"/>
      <c r="U29" s="3"/>
      <c r="V29" s="3"/>
      <c r="W29" s="3"/>
      <c r="X29" s="3"/>
    </row>
    <row r="30" spans="10:24" ht="15" x14ac:dyDescent="0.2">
      <c r="K30" s="3"/>
      <c r="L30" s="5"/>
      <c r="M30" s="3"/>
      <c r="N30" s="3"/>
      <c r="O30" s="3"/>
      <c r="P30" s="3"/>
      <c r="Q30" s="3"/>
      <c r="R30" s="3"/>
      <c r="S30" s="3"/>
      <c r="T30" s="3"/>
      <c r="U30" s="3"/>
      <c r="V30" s="3"/>
      <c r="W30" s="3"/>
      <c r="X30" s="3"/>
    </row>
    <row r="31" spans="10:24" ht="15" x14ac:dyDescent="0.2">
      <c r="K31" s="3"/>
      <c r="L31" s="3"/>
      <c r="M31" s="3"/>
      <c r="N31" s="3"/>
      <c r="O31" s="3"/>
      <c r="P31" s="3"/>
      <c r="Q31" s="3"/>
      <c r="R31" s="3"/>
      <c r="S31" s="3"/>
      <c r="T31" s="3"/>
      <c r="U31" s="3"/>
      <c r="V31" s="3"/>
      <c r="W31" s="3"/>
      <c r="X31" s="3"/>
    </row>
    <row r="32" spans="10:24" ht="15" x14ac:dyDescent="0.2">
      <c r="J32" s="1"/>
      <c r="K32" s="3"/>
      <c r="L32" s="3"/>
      <c r="M32" s="3"/>
      <c r="N32" s="3"/>
      <c r="O32" s="3"/>
      <c r="P32" s="3"/>
      <c r="Q32" s="3"/>
      <c r="R32" s="3"/>
      <c r="S32" s="3"/>
      <c r="T32" s="3"/>
      <c r="U32" s="3"/>
      <c r="V32" s="3"/>
      <c r="W32" s="3"/>
      <c r="X32" s="3"/>
    </row>
    <row r="33" spans="11:24" ht="15" x14ac:dyDescent="0.2">
      <c r="K33" s="3"/>
      <c r="L33" s="3"/>
      <c r="M33" s="3"/>
      <c r="N33" s="3"/>
      <c r="O33" s="3"/>
      <c r="P33" s="3"/>
      <c r="Q33" s="3"/>
      <c r="R33" s="3"/>
      <c r="S33" s="3"/>
      <c r="T33" s="3"/>
      <c r="U33" s="3"/>
      <c r="V33" s="3"/>
      <c r="W33" s="3"/>
      <c r="X33" s="3"/>
    </row>
    <row r="34" spans="11:24" ht="15" x14ac:dyDescent="0.2">
      <c r="K34" s="3"/>
      <c r="L34" s="3"/>
      <c r="M34" s="3"/>
      <c r="N34" s="3"/>
      <c r="O34" s="3"/>
      <c r="P34" s="3"/>
      <c r="Q34" s="3"/>
      <c r="R34" s="3"/>
      <c r="S34" s="3"/>
      <c r="T34" s="3"/>
      <c r="U34" s="3"/>
      <c r="V34" s="3"/>
      <c r="W34" s="3"/>
      <c r="X34" s="3"/>
    </row>
    <row r="35" spans="11:24" ht="15" x14ac:dyDescent="0.2">
      <c r="K35" s="3"/>
      <c r="L35" s="3"/>
      <c r="M35" s="3"/>
      <c r="N35" s="3"/>
      <c r="O35" s="3"/>
      <c r="P35" s="3"/>
      <c r="Q35" s="3"/>
      <c r="R35" s="3"/>
      <c r="S35" s="3"/>
      <c r="T35" s="3"/>
      <c r="U35" s="3"/>
      <c r="V35" s="3"/>
      <c r="W35" s="3"/>
      <c r="X35" s="3"/>
    </row>
    <row r="36" spans="11:24" ht="15" x14ac:dyDescent="0.2">
      <c r="K36" s="3"/>
      <c r="L36" s="6" t="str">
        <f>IF(ABS(phi)&gt;66.55,"only between ± 66°30' (the pole circles)","")</f>
        <v/>
      </c>
      <c r="M36" s="3"/>
      <c r="N36" s="3"/>
      <c r="O36" s="3"/>
      <c r="P36" s="3"/>
      <c r="Q36" s="3"/>
      <c r="R36" s="3"/>
      <c r="S36" s="3"/>
      <c r="T36" s="3"/>
      <c r="U36" s="3"/>
      <c r="V36" s="3"/>
      <c r="W36" s="3"/>
      <c r="X36" s="3"/>
    </row>
    <row r="37" spans="11:24" ht="15" x14ac:dyDescent="0.2">
      <c r="K37" s="3"/>
      <c r="L37" s="3"/>
      <c r="M37" s="3"/>
      <c r="N37" s="3"/>
      <c r="O37" s="3"/>
      <c r="P37" s="3"/>
      <c r="Q37" s="3"/>
      <c r="R37" s="3"/>
      <c r="S37" s="3"/>
      <c r="T37" s="3"/>
      <c r="U37" s="3"/>
      <c r="V37" s="3"/>
      <c r="W37" s="3"/>
      <c r="X37" s="3"/>
    </row>
    <row r="38" spans="11:24" ht="15" x14ac:dyDescent="0.2">
      <c r="X38" s="3"/>
    </row>
    <row r="39" spans="11:24" ht="15" x14ac:dyDescent="0.2">
      <c r="X39" s="3"/>
    </row>
    <row r="40" spans="11:24" ht="15" x14ac:dyDescent="0.2">
      <c r="X40" s="3"/>
    </row>
    <row r="41" spans="11:24" ht="15" x14ac:dyDescent="0.2">
      <c r="X41" s="3"/>
    </row>
    <row r="42" spans="11:24" ht="15" x14ac:dyDescent="0.2">
      <c r="X42" s="3"/>
    </row>
    <row r="43" spans="11:24" ht="15" x14ac:dyDescent="0.2">
      <c r="X43" s="3"/>
    </row>
    <row r="44" spans="11:24" ht="15" x14ac:dyDescent="0.2">
      <c r="X44" s="3"/>
    </row>
    <row r="45" spans="11:24" ht="15" x14ac:dyDescent="0.2">
      <c r="X45" s="3"/>
    </row>
    <row r="46" spans="11:24" ht="15" x14ac:dyDescent="0.2">
      <c r="X46" s="3"/>
    </row>
    <row r="47" spans="11:24" ht="15" x14ac:dyDescent="0.2">
      <c r="X47" s="3"/>
    </row>
    <row r="48" spans="11:24" ht="15" x14ac:dyDescent="0.2">
      <c r="X48" s="3"/>
    </row>
    <row r="49" spans="2:24" ht="15" x14ac:dyDescent="0.2">
      <c r="X49" s="3"/>
    </row>
    <row r="50" spans="2:24" ht="16" x14ac:dyDescent="0.2">
      <c r="B50" s="31" t="s">
        <v>68</v>
      </c>
      <c r="C50" s="31"/>
      <c r="D50" s="31"/>
      <c r="E50" s="31" t="s">
        <v>72</v>
      </c>
      <c r="F50" s="31" t="s">
        <v>76</v>
      </c>
      <c r="G50" s="17"/>
      <c r="H50" s="17"/>
      <c r="I50" s="17"/>
      <c r="J50" s="17"/>
      <c r="K50" s="18"/>
      <c r="L50" s="18"/>
      <c r="M50" s="18"/>
      <c r="N50" s="18"/>
      <c r="O50" s="18"/>
      <c r="P50" s="3"/>
      <c r="Q50" s="3"/>
      <c r="R50" s="3"/>
      <c r="S50" s="3"/>
      <c r="T50" s="3"/>
      <c r="U50" s="3"/>
      <c r="V50" s="3"/>
      <c r="W50" s="3"/>
      <c r="X50" s="3"/>
    </row>
    <row r="51" spans="2:24" ht="15" x14ac:dyDescent="0.2">
      <c r="B51" s="19" t="s">
        <v>69</v>
      </c>
      <c r="C51" s="20"/>
      <c r="D51" s="21"/>
      <c r="E51" s="22" t="s">
        <v>73</v>
      </c>
      <c r="F51" s="21" t="s">
        <v>45</v>
      </c>
      <c r="G51" s="40"/>
      <c r="H51" s="40"/>
      <c r="I51" s="21"/>
      <c r="J51" s="21"/>
      <c r="K51" s="23"/>
      <c r="L51" s="29"/>
      <c r="M51" s="30"/>
      <c r="N51" s="30"/>
      <c r="O51" s="18"/>
      <c r="P51" s="3"/>
      <c r="Q51" s="3"/>
      <c r="R51" s="3"/>
      <c r="S51" s="3"/>
      <c r="T51" s="3"/>
      <c r="U51" s="3"/>
      <c r="V51" s="3"/>
      <c r="W51" s="3"/>
      <c r="X51" s="3"/>
    </row>
    <row r="52" spans="2:24" ht="15" x14ac:dyDescent="0.2">
      <c r="B52" s="24"/>
      <c r="C52" s="25"/>
      <c r="D52" s="26"/>
      <c r="E52" s="27" t="s">
        <v>74</v>
      </c>
      <c r="F52" s="26" t="s">
        <v>41</v>
      </c>
      <c r="G52" s="41"/>
      <c r="H52" s="41"/>
      <c r="I52" s="26"/>
      <c r="J52" s="26"/>
      <c r="K52" s="28"/>
      <c r="L52" s="29"/>
      <c r="M52" s="30"/>
      <c r="N52" s="30"/>
      <c r="O52" s="18"/>
      <c r="P52" s="3"/>
      <c r="Q52" s="3"/>
      <c r="R52" s="3"/>
      <c r="S52" s="3"/>
      <c r="T52" s="3"/>
      <c r="U52" s="3"/>
      <c r="V52" s="3"/>
      <c r="W52" s="3"/>
      <c r="X52" s="3"/>
    </row>
    <row r="53" spans="2:24" ht="15" x14ac:dyDescent="0.2">
      <c r="B53" s="29" t="s">
        <v>70</v>
      </c>
      <c r="C53" s="18"/>
      <c r="D53" s="30"/>
      <c r="E53" s="39" t="s">
        <v>75</v>
      </c>
      <c r="F53" s="30" t="s">
        <v>42</v>
      </c>
      <c r="I53" s="30"/>
      <c r="J53" s="30"/>
      <c r="K53" s="30"/>
      <c r="L53" s="29"/>
      <c r="M53" s="30"/>
      <c r="N53" s="30"/>
      <c r="O53" s="18"/>
      <c r="P53" s="3"/>
      <c r="Q53" s="3"/>
      <c r="R53" s="3"/>
      <c r="S53" s="3"/>
      <c r="T53" s="3"/>
      <c r="U53" s="3"/>
      <c r="V53" s="3"/>
      <c r="W53" s="3"/>
      <c r="X53" s="3"/>
    </row>
    <row r="54" spans="2:24" ht="15" x14ac:dyDescent="0.2">
      <c r="B54" s="29"/>
      <c r="C54" s="18"/>
      <c r="D54" s="30"/>
      <c r="E54" s="32"/>
      <c r="F54" s="30" t="s">
        <v>43</v>
      </c>
      <c r="I54" s="30"/>
      <c r="J54" s="30"/>
      <c r="K54" s="30"/>
      <c r="L54" s="29"/>
      <c r="M54" s="30"/>
      <c r="N54" s="30"/>
      <c r="O54" s="18"/>
      <c r="P54" s="3"/>
      <c r="Q54" s="3"/>
      <c r="R54" s="3"/>
      <c r="S54" s="3"/>
      <c r="T54" s="3"/>
      <c r="U54" s="3"/>
      <c r="V54" s="3"/>
      <c r="W54" s="3"/>
      <c r="X54" s="3"/>
    </row>
    <row r="55" spans="2:24" ht="15" x14ac:dyDescent="0.2">
      <c r="B55" s="33" t="s">
        <v>71</v>
      </c>
      <c r="C55" s="34"/>
      <c r="D55" s="35"/>
      <c r="E55" s="36" t="s">
        <v>73</v>
      </c>
      <c r="F55" s="35" t="s">
        <v>46</v>
      </c>
      <c r="G55" s="37"/>
      <c r="H55" s="37"/>
      <c r="I55" s="35"/>
      <c r="J55" s="35"/>
      <c r="K55" s="38"/>
      <c r="L55" s="29"/>
      <c r="M55" s="30"/>
      <c r="N55" s="30"/>
      <c r="O55" s="17"/>
    </row>
    <row r="56" spans="2:24" ht="14" x14ac:dyDescent="0.2">
      <c r="B56" s="17"/>
      <c r="C56" s="17"/>
      <c r="D56" s="17"/>
      <c r="E56" s="17"/>
      <c r="F56" s="17"/>
      <c r="G56" s="17"/>
      <c r="H56" s="17"/>
      <c r="I56" s="17"/>
      <c r="J56" s="17"/>
      <c r="K56" s="17"/>
      <c r="L56" s="17"/>
      <c r="M56" s="17"/>
      <c r="N56" s="17"/>
      <c r="O56" s="17"/>
    </row>
    <row r="57" spans="2:24" ht="14" x14ac:dyDescent="0.2">
      <c r="B57" s="17"/>
      <c r="C57" s="17"/>
      <c r="D57" s="17"/>
      <c r="E57" s="17"/>
      <c r="F57" s="17"/>
      <c r="G57" s="17"/>
      <c r="H57" s="17"/>
      <c r="I57" s="17"/>
      <c r="J57" s="17"/>
      <c r="K57" s="17"/>
      <c r="L57" s="17"/>
      <c r="M57" s="17"/>
      <c r="N57" s="17"/>
      <c r="O57" s="17"/>
    </row>
    <row r="58" spans="2:24" ht="14" x14ac:dyDescent="0.2">
      <c r="B58" s="17"/>
      <c r="C58" s="17"/>
      <c r="D58" s="17"/>
      <c r="E58" s="17"/>
      <c r="F58" s="17"/>
      <c r="G58" s="17"/>
      <c r="H58" s="17"/>
      <c r="I58" s="17"/>
      <c r="J58" s="17"/>
      <c r="K58" s="17"/>
      <c r="L58" s="17"/>
      <c r="M58" s="17"/>
      <c r="N58" s="17"/>
      <c r="O58" s="17"/>
    </row>
    <row r="59" spans="2:24" ht="14" x14ac:dyDescent="0.2">
      <c r="B59" s="17"/>
      <c r="C59" s="17"/>
      <c r="D59" s="17"/>
      <c r="E59" s="17"/>
      <c r="F59" s="17"/>
      <c r="G59" s="17"/>
      <c r="H59" s="17"/>
      <c r="I59" s="17"/>
      <c r="J59" s="17"/>
      <c r="K59" s="17"/>
      <c r="L59" s="17"/>
      <c r="M59" s="17"/>
      <c r="N59" s="17"/>
      <c r="O59" s="17"/>
    </row>
    <row r="60" spans="2:24" ht="14" x14ac:dyDescent="0.2">
      <c r="B60" s="17"/>
      <c r="C60" s="17"/>
      <c r="D60" s="17"/>
      <c r="E60" s="17"/>
      <c r="F60" s="17"/>
      <c r="G60" s="17"/>
      <c r="H60" s="17"/>
      <c r="I60" s="17"/>
      <c r="J60" s="17"/>
      <c r="K60" s="17"/>
      <c r="L60" s="17"/>
      <c r="M60" s="17"/>
      <c r="N60" s="17"/>
      <c r="O60" s="17"/>
    </row>
    <row r="61" spans="2:24" ht="14" x14ac:dyDescent="0.2">
      <c r="B61" s="17"/>
      <c r="C61" s="17"/>
      <c r="D61" s="17"/>
      <c r="E61" s="17"/>
      <c r="F61" s="17"/>
      <c r="G61" s="17"/>
      <c r="H61" s="17"/>
      <c r="I61" s="17"/>
      <c r="J61" s="17"/>
      <c r="K61" s="17"/>
      <c r="L61" s="17"/>
      <c r="M61" s="17"/>
      <c r="N61" s="17"/>
      <c r="O61" s="17"/>
    </row>
  </sheetData>
  <sheetProtection sheet="1"/>
  <pageMargins left="0.75" right="0.75" top="1" bottom="1" header="0.5" footer="0.5"/>
  <pageSetup paperSize="0" orientation="portrait" horizontalDpi="4294967292" verticalDpi="4294967292"/>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2:CO375"/>
  <sheetViews>
    <sheetView showGridLines="0" workbookViewId="0">
      <selection activeCell="D35" sqref="D35"/>
    </sheetView>
  </sheetViews>
  <sheetFormatPr baseColWidth="10" defaultColWidth="10.6640625" defaultRowHeight="15" x14ac:dyDescent="0.2"/>
  <cols>
    <col min="1" max="1" width="10.6640625" style="2"/>
    <col min="2" max="2" width="12.5" style="43" bestFit="1" customWidth="1"/>
    <col min="3" max="8" width="10.83203125" style="43" bestFit="1" customWidth="1"/>
    <col min="9" max="10" width="12.1640625" style="43" bestFit="1" customWidth="1"/>
    <col min="11" max="11" width="10.83203125" style="43" bestFit="1" customWidth="1"/>
    <col min="12" max="12" width="7.33203125" style="43" bestFit="1" customWidth="1"/>
    <col min="13" max="13" width="7" style="44" bestFit="1" customWidth="1"/>
    <col min="14" max="17" width="7" style="43" bestFit="1" customWidth="1"/>
    <col min="18" max="18" width="7.33203125" style="43" bestFit="1" customWidth="1"/>
    <col min="19" max="19" width="6.1640625" style="43" bestFit="1" customWidth="1"/>
    <col min="20" max="20" width="7.1640625" style="43" customWidth="1"/>
    <col min="21" max="22" width="6.1640625" style="43" bestFit="1" customWidth="1"/>
    <col min="23" max="24" width="7" style="43" bestFit="1" customWidth="1"/>
    <col min="25" max="25" width="6.1640625" style="43" customWidth="1"/>
    <col min="26" max="26" width="4.5" style="45" bestFit="1" customWidth="1"/>
    <col min="27" max="27" width="10.33203125" style="43" bestFit="1" customWidth="1"/>
    <col min="28" max="28" width="8" style="43" bestFit="1" customWidth="1"/>
    <col min="29" max="29" width="10.33203125" style="43" bestFit="1" customWidth="1"/>
    <col min="30" max="30" width="7" style="43" bestFit="1" customWidth="1"/>
    <col min="31" max="31" width="11.83203125" style="43" bestFit="1" customWidth="1"/>
    <col min="32" max="32" width="7" style="43" bestFit="1" customWidth="1"/>
    <col min="33" max="33" width="10.1640625" style="43" customWidth="1"/>
    <col min="34" max="34" width="8" style="43" bestFit="1" customWidth="1"/>
    <col min="35" max="35" width="4.5" style="46" bestFit="1" customWidth="1"/>
    <col min="36" max="36" width="17" style="43" bestFit="1" customWidth="1"/>
    <col min="37" max="37" width="8" style="43" bestFit="1" customWidth="1"/>
    <col min="38" max="38" width="7.33203125" style="43" bestFit="1" customWidth="1"/>
    <col min="39" max="39" width="15.1640625" style="43" customWidth="1"/>
    <col min="40" max="40" width="8" style="43" bestFit="1" customWidth="1"/>
    <col min="41" max="41" width="13" style="43" customWidth="1"/>
    <col min="42" max="42" width="7.83203125" style="43" customWidth="1"/>
    <col min="43" max="43" width="13.33203125" style="43" bestFit="1" customWidth="1"/>
    <col min="44" max="44" width="6.83203125" style="43" bestFit="1" customWidth="1"/>
    <col min="45" max="45" width="8.1640625" style="43" customWidth="1"/>
    <col min="46" max="47" width="6.1640625" style="43" bestFit="1" customWidth="1"/>
    <col min="48" max="48" width="7.33203125" style="43" bestFit="1" customWidth="1"/>
    <col min="49" max="49" width="4.5" style="46" bestFit="1" customWidth="1"/>
    <col min="50" max="50" width="7" style="43" bestFit="1" customWidth="1"/>
    <col min="51" max="51" width="7.33203125" style="43" bestFit="1" customWidth="1"/>
    <col min="52" max="52" width="12.1640625" style="45" bestFit="1" customWidth="1"/>
    <col min="53" max="53" width="7.1640625" style="43" bestFit="1" customWidth="1"/>
    <col min="54" max="54" width="7" style="43" bestFit="1" customWidth="1"/>
    <col min="55" max="56" width="7.33203125" style="43" bestFit="1" customWidth="1"/>
    <col min="57" max="58" width="10.83203125" style="43" bestFit="1" customWidth="1"/>
    <col min="59" max="59" width="10.83203125" style="46" bestFit="1" customWidth="1"/>
    <col min="60" max="62" width="10.83203125" style="43" bestFit="1" customWidth="1"/>
    <col min="63" max="93" width="10.6640625" style="43"/>
    <col min="94" max="16384" width="10.6640625" style="2"/>
  </cols>
  <sheetData>
    <row r="2" spans="2:62" ht="19" x14ac:dyDescent="0.25">
      <c r="B2" s="42" t="s">
        <v>77</v>
      </c>
    </row>
    <row r="4" spans="2:62" x14ac:dyDescent="0.2">
      <c r="C4" s="43" t="s">
        <v>6</v>
      </c>
      <c r="D4" s="43" t="s">
        <v>1</v>
      </c>
      <c r="E4" s="43" t="s">
        <v>11</v>
      </c>
      <c r="F4" s="43" t="s">
        <v>38</v>
      </c>
      <c r="G4" s="43" t="s">
        <v>39</v>
      </c>
      <c r="H4" s="43" t="s">
        <v>17</v>
      </c>
      <c r="I4" s="43" t="s">
        <v>20</v>
      </c>
      <c r="J4" s="43" t="s">
        <v>2</v>
      </c>
      <c r="L4" s="43" t="s">
        <v>21</v>
      </c>
      <c r="M4" s="44" t="s">
        <v>22</v>
      </c>
      <c r="AZ4" s="45" t="s">
        <v>22</v>
      </c>
      <c r="BA4" s="43">
        <f>VLOOKUP(H5,AW10:AY375,3)</f>
        <v>150.56273684210583</v>
      </c>
      <c r="BB4" s="43" t="s">
        <v>31</v>
      </c>
      <c r="BC4" s="43" t="s">
        <v>32</v>
      </c>
    </row>
    <row r="5" spans="2:62" x14ac:dyDescent="0.2">
      <c r="B5" s="43" t="s">
        <v>18</v>
      </c>
      <c r="C5" s="47">
        <v>100</v>
      </c>
      <c r="D5" s="43">
        <f>ABS(C29)+ABS(C30)/60</f>
        <v>45.083333333333336</v>
      </c>
      <c r="E5" s="43">
        <f>C37+C38/60</f>
        <v>7.25</v>
      </c>
      <c r="H5" s="46">
        <f>C33-1+VLOOKUP(C34-1,AU9:AV21,2)</f>
        <v>233</v>
      </c>
      <c r="I5" s="43">
        <f>VLOOKUP(H5,AW10:AX375,2)</f>
        <v>12.65</v>
      </c>
      <c r="J5" s="43">
        <f>DEGREES(ACOS(-TAN(RADIANS($D$5))*TAN(RADIANS((I5))))/15)</f>
        <v>6.8672378623629227</v>
      </c>
      <c r="L5" s="43">
        <v>5.95</v>
      </c>
      <c r="M5" s="44">
        <f>IF(DEGREES(ASIN(SIN(RADIANS(L5))/0.3977771))&lt;0,360+DEGREES(ASIN(SIN(RADIANS(L5))/0.3977771)),DEGREES(ASIN(SIN(RADIANS(L5))/0.3977771)))</f>
        <v>15.105641215895302</v>
      </c>
      <c r="AY5" s="43">
        <f>($E$5-12)*15-90+AY10</f>
        <v>119.20999999999998</v>
      </c>
      <c r="AZ5" s="45" t="s">
        <v>24</v>
      </c>
      <c r="BA5" s="43">
        <f>E5-12</f>
        <v>-4.75</v>
      </c>
      <c r="BB5" s="43">
        <f>0.3*C5*SIN(RADIANS(BA8))</f>
        <v>-5.5634452842345041</v>
      </c>
      <c r="BC5" s="43">
        <f>0.3*C5*COS(RADIANS(BA8))</f>
        <v>29.479621377645419</v>
      </c>
    </row>
    <row r="6" spans="2:62" x14ac:dyDescent="0.2">
      <c r="B6" s="43" t="s">
        <v>7</v>
      </c>
      <c r="C6" s="43">
        <f>0.4*C5</f>
        <v>40</v>
      </c>
      <c r="H6" s="43">
        <f>H5*0.98571+280.42</f>
        <v>510.09042999999997</v>
      </c>
      <c r="AS6" s="43">
        <f>I8*SIN(RADIANS(AQ7*15))</f>
        <v>-66.851636915538066</v>
      </c>
      <c r="AT6" s="43">
        <f>I8*COS(RADIANS(AQ7*15))</f>
        <v>22.693072862967462</v>
      </c>
      <c r="AZ6" s="45" t="s">
        <v>23</v>
      </c>
      <c r="BA6" s="43">
        <f>BA5*15</f>
        <v>-71.25</v>
      </c>
      <c r="BB6" s="43" t="s">
        <v>27</v>
      </c>
      <c r="BC6" s="43" t="s">
        <v>28</v>
      </c>
    </row>
    <row r="7" spans="2:62" x14ac:dyDescent="0.2">
      <c r="B7" s="43" t="s">
        <v>10</v>
      </c>
      <c r="C7" s="43">
        <f>(($C$5+$C$6)/2)/SIN(RADIANS(90))*SIN(RADIANS(180)-RADIANS(90)-ASIN(($C$5-$C$6)/($C$5+$C$6)*SIN(RADIANS(90))))</f>
        <v>63.245553203367592</v>
      </c>
      <c r="H7" s="43">
        <f>IF(H6&gt;360,H6-360,H6)-90</f>
        <v>60.090429999999969</v>
      </c>
      <c r="AQ7" s="43">
        <f>E5+12</f>
        <v>19.25</v>
      </c>
      <c r="AS7" s="43" t="s">
        <v>29</v>
      </c>
      <c r="AT7" s="43" t="s">
        <v>30</v>
      </c>
      <c r="AZ7" s="45" t="s">
        <v>25</v>
      </c>
      <c r="BA7" s="43">
        <f>BA6-90</f>
        <v>-161.25</v>
      </c>
      <c r="BB7" s="43">
        <f>(AS10-BB5)</f>
        <v>-70.14316500399282</v>
      </c>
      <c r="BC7" s="43">
        <f>AT10-BC5</f>
        <v>-3.7806900911968029</v>
      </c>
    </row>
    <row r="8" spans="2:62" x14ac:dyDescent="0.2">
      <c r="F8" s="43">
        <f>(($C$5+$C$6)/2)/SIN(RADIANS(H7))*SIN(RADIANS(180)-RADIANS(H7)-ASIN(($C$5-$C$6)/($C$5+$C$6)*SIN(RADIANS(H7))))</f>
        <v>79.949521015445328</v>
      </c>
      <c r="G8" s="48" t="s">
        <v>15</v>
      </c>
      <c r="I8" s="43">
        <f>((0.85*$C$5+$C$6)/2)/SIN(RADIANS(H7))*SIN(RADIANS(180)-RADIANS(H7)-ASIN((0.85*$C$5-$C$6)/(0.85*$C$5+$C$6)*SIN(RADIANS(H7))))</f>
        <v>70.598278408548197</v>
      </c>
      <c r="AA8" s="48" t="s">
        <v>56</v>
      </c>
      <c r="AC8" s="48" t="s">
        <v>57</v>
      </c>
      <c r="AE8" s="48" t="s">
        <v>58</v>
      </c>
      <c r="AG8" s="48" t="s">
        <v>59</v>
      </c>
      <c r="AJ8" s="48" t="s">
        <v>13</v>
      </c>
      <c r="AM8" s="48" t="s">
        <v>19</v>
      </c>
      <c r="AO8" s="48" t="s">
        <v>0</v>
      </c>
      <c r="AQ8" s="48" t="s">
        <v>14</v>
      </c>
      <c r="AS8" s="48" t="s">
        <v>12</v>
      </c>
      <c r="AW8" s="46" t="s">
        <v>16</v>
      </c>
      <c r="AX8" s="43" t="s">
        <v>20</v>
      </c>
      <c r="AY8" s="43" t="s">
        <v>22</v>
      </c>
      <c r="AZ8" s="45" t="s">
        <v>26</v>
      </c>
      <c r="BA8" s="43">
        <f>BA7+BA4</f>
        <v>-10.687263157894165</v>
      </c>
      <c r="BB8" s="43">
        <f>ATAN((BC7/BB7))</f>
        <v>5.3847517117640915E-2</v>
      </c>
      <c r="BC8" s="43">
        <f>IF(BB7&lt;0,DEGREES(BB8)+180,DEGREES(BB8))</f>
        <v>183.08523546809928</v>
      </c>
      <c r="BD8" s="43" t="s">
        <v>33</v>
      </c>
    </row>
    <row r="9" spans="2:62" x14ac:dyDescent="0.2">
      <c r="AA9" s="43" t="s">
        <v>8</v>
      </c>
      <c r="AB9" s="43" t="s">
        <v>9</v>
      </c>
      <c r="AC9" s="43" t="s">
        <v>8</v>
      </c>
      <c r="AD9" s="43" t="s">
        <v>9</v>
      </c>
      <c r="AE9" s="43" t="s">
        <v>8</v>
      </c>
      <c r="AF9" s="43" t="s">
        <v>9</v>
      </c>
      <c r="AG9" s="43" t="s">
        <v>8</v>
      </c>
      <c r="AH9" s="43" t="s">
        <v>9</v>
      </c>
      <c r="AJ9" s="43" t="s">
        <v>8</v>
      </c>
      <c r="AK9" s="43" t="s">
        <v>9</v>
      </c>
      <c r="AM9" s="43" t="s">
        <v>8</v>
      </c>
      <c r="AN9" s="43" t="s">
        <v>9</v>
      </c>
      <c r="AO9" s="43" t="s">
        <v>8</v>
      </c>
      <c r="AP9" s="43" t="s">
        <v>9</v>
      </c>
      <c r="AQ9" s="43" t="s">
        <v>8</v>
      </c>
      <c r="AR9" s="43" t="s">
        <v>9</v>
      </c>
      <c r="AS9" s="43" t="s">
        <v>8</v>
      </c>
      <c r="AT9" s="43" t="s">
        <v>9</v>
      </c>
      <c r="AU9" s="43">
        <v>0</v>
      </c>
      <c r="AV9" s="43">
        <v>0</v>
      </c>
    </row>
    <row r="10" spans="2:62" x14ac:dyDescent="0.2">
      <c r="B10" s="49" t="s">
        <v>54</v>
      </c>
      <c r="C10" s="50" t="s">
        <v>53</v>
      </c>
      <c r="D10" s="50" t="s">
        <v>52</v>
      </c>
      <c r="E10" s="50" t="s">
        <v>2</v>
      </c>
      <c r="F10" s="50" t="s">
        <v>50</v>
      </c>
      <c r="G10" s="50" t="s">
        <v>51</v>
      </c>
      <c r="H10" s="50" t="s">
        <v>55</v>
      </c>
      <c r="I10" s="50" t="s">
        <v>3</v>
      </c>
      <c r="J10" s="50" t="s">
        <v>4</v>
      </c>
      <c r="K10" s="50" t="s">
        <v>5</v>
      </c>
      <c r="L10" s="51">
        <v>0</v>
      </c>
      <c r="M10" s="52">
        <v>1</v>
      </c>
      <c r="N10" s="51">
        <v>2</v>
      </c>
      <c r="O10" s="51">
        <v>3</v>
      </c>
      <c r="P10" s="51">
        <v>4</v>
      </c>
      <c r="Q10" s="51">
        <v>5</v>
      </c>
      <c r="R10" s="51">
        <v>6</v>
      </c>
      <c r="S10" s="50">
        <v>5</v>
      </c>
      <c r="T10" s="50">
        <v>4</v>
      </c>
      <c r="U10" s="50">
        <v>3</v>
      </c>
      <c r="V10" s="50">
        <v>2</v>
      </c>
      <c r="W10" s="50">
        <v>1</v>
      </c>
      <c r="X10" s="53">
        <v>0</v>
      </c>
      <c r="Z10" s="45">
        <v>0</v>
      </c>
      <c r="AA10" s="43">
        <f t="shared" ref="AA10:AA41" si="0">$C$5*COS(RADIANS(Z10))</f>
        <v>100</v>
      </c>
      <c r="AB10" s="43">
        <f t="shared" ref="AB10:AB41" si="1">$C$5*SIN(RADIANS(Z10))</f>
        <v>0</v>
      </c>
      <c r="AC10" s="43">
        <f t="shared" ref="AC10:AC41" si="2">$C$6*COS(RADIANS(Z10))</f>
        <v>40</v>
      </c>
      <c r="AD10" s="43">
        <f t="shared" ref="AD10:AD41" si="3">$C$6*SIN(RADIANS(Z10))</f>
        <v>0</v>
      </c>
      <c r="AE10" s="43">
        <f>$C$7*COS(RADIANS(Z10))</f>
        <v>63.245553203367592</v>
      </c>
      <c r="AF10" s="43">
        <f>$C$7*SIN(RADIANS(Z10))</f>
        <v>0</v>
      </c>
      <c r="AG10" s="43">
        <f t="shared" ref="AG10:AG41" si="4">1.15*$C$5*COS(RADIANS(Z10))</f>
        <v>114.99999999999999</v>
      </c>
      <c r="AH10" s="43">
        <f t="shared" ref="AH10:AH41" si="5">1.15*$C$5*SIN(RADIANS(Z10))</f>
        <v>0</v>
      </c>
      <c r="AI10" s="46">
        <v>0</v>
      </c>
      <c r="AJ10" s="43">
        <f t="shared" ref="AJ10:AJ34" si="6">$C$5*COS(RADIANS(AI10))</f>
        <v>100</v>
      </c>
      <c r="AK10" s="43">
        <f t="shared" ref="AK10:AK34" si="7">$C$5*SIN(RADIANS(AI10))</f>
        <v>0</v>
      </c>
      <c r="AL10" s="43">
        <f>J5*360/24</f>
        <v>103.00856793544385</v>
      </c>
      <c r="AM10" s="43">
        <f t="shared" ref="AM10:AM34" si="8">1.15*$C$5*SIN(RADIANS(AL10))</f>
        <v>112.04868772574497</v>
      </c>
      <c r="AN10" s="43">
        <f t="shared" ref="AN10:AN34" si="9">1.15*$C$5*COS(RADIANS(AL10))</f>
        <v>-25.886127152173341</v>
      </c>
      <c r="AO10" s="43">
        <f>1.225*$C$5*SIN(RADIANS(AL10))</f>
        <v>119.35621083829358</v>
      </c>
      <c r="AP10" s="43">
        <f>1.225*$C$5*COS(RADIANS(AL10))</f>
        <v>-27.574352836010739</v>
      </c>
      <c r="AQ10" s="43">
        <v>0</v>
      </c>
      <c r="AR10" s="43">
        <v>0</v>
      </c>
      <c r="AS10" s="43">
        <f>F8*SIN(RADIANS(AQ7*15))</f>
        <v>-75.706610288227324</v>
      </c>
      <c r="AT10" s="43">
        <f>F8*COS(RADIANS(AQ7*15))</f>
        <v>25.698931286448616</v>
      </c>
      <c r="AU10" s="43">
        <v>1</v>
      </c>
      <c r="AV10" s="43">
        <v>31</v>
      </c>
      <c r="AW10" s="46">
        <v>1</v>
      </c>
      <c r="AX10" s="44">
        <v>-23.07</v>
      </c>
      <c r="AY10" s="43">
        <v>280.45999999999998</v>
      </c>
      <c r="AZ10" s="45">
        <v>0</v>
      </c>
      <c r="BA10" s="43">
        <f>AS10</f>
        <v>-75.706610288227324</v>
      </c>
      <c r="BB10" s="43">
        <f>AT10</f>
        <v>25.698931286448616</v>
      </c>
      <c r="BG10" s="46">
        <v>0</v>
      </c>
      <c r="BH10" s="43">
        <f>$C$5*COS(RADIANS(90-$BA$8))</f>
        <v>-18.544817614115022</v>
      </c>
      <c r="BI10" s="43">
        <f>$C$5*SIN(RADIANS(90-$BA$8+BG10))</f>
        <v>98.265404592151398</v>
      </c>
    </row>
    <row r="11" spans="2:62" x14ac:dyDescent="0.2">
      <c r="B11" s="54">
        <v>1E-4</v>
      </c>
      <c r="C11" s="43">
        <f>(($C$5+$C$6)/2)/SIN(RADIANS(B11))*SIN(RADIANS(180)-RADIANS(B11)-ASIN(($C$5-$C$6)/($C$5+$C$6)*SIN(RADIANS(B11))))</f>
        <v>99.999999998239076</v>
      </c>
      <c r="D11" s="55">
        <v>23.44</v>
      </c>
      <c r="E11" s="43">
        <f>DEGREES(ACOS(-TAN(RADIANS($D$5))*TAN(RADIANS((D11))))/15)</f>
        <v>7.7183018352134063</v>
      </c>
      <c r="F11" s="43">
        <f>12-E11</f>
        <v>4.2816981647865937</v>
      </c>
      <c r="G11" s="43">
        <f>12+E11</f>
        <v>19.718301835213406</v>
      </c>
      <c r="H11" s="43">
        <f>G11-F11</f>
        <v>15.436603670426813</v>
      </c>
      <c r="I11" s="43">
        <f>H11/24</f>
        <v>0.64319181960111715</v>
      </c>
      <c r="J11" s="43">
        <f>I11*180</f>
        <v>115.77452752820109</v>
      </c>
      <c r="K11" s="43">
        <f>J11/6</f>
        <v>19.295754588033514</v>
      </c>
      <c r="L11" s="43">
        <f>$C$11*SIN(RADIANS((L$10-6)*$K11))</f>
        <v>-90.051217679591176</v>
      </c>
      <c r="M11" s="44">
        <f t="shared" ref="M11:R11" si="10">$C$11*SIN(RADIANS((M$10-6)*$K11))</f>
        <v>-99.361372723341788</v>
      </c>
      <c r="N11" s="43">
        <f t="shared" si="10"/>
        <v>-97.508364765922877</v>
      </c>
      <c r="O11" s="43">
        <f t="shared" si="10"/>
        <v>-84.70037762468904</v>
      </c>
      <c r="P11" s="43">
        <f t="shared" si="10"/>
        <v>-62.376377411477023</v>
      </c>
      <c r="Q11" s="43">
        <f t="shared" si="10"/>
        <v>-33.044445953136318</v>
      </c>
      <c r="R11" s="43">
        <f t="shared" si="10"/>
        <v>0</v>
      </c>
      <c r="S11" s="43">
        <f>-Q11</f>
        <v>33.044445953136318</v>
      </c>
      <c r="T11" s="43">
        <f>-P11</f>
        <v>62.376377411477023</v>
      </c>
      <c r="U11" s="43">
        <f>-O11</f>
        <v>84.70037762468904</v>
      </c>
      <c r="V11" s="43">
        <f>-N11</f>
        <v>97.508364765922877</v>
      </c>
      <c r="W11" s="43">
        <f>-M11</f>
        <v>99.361372723341788</v>
      </c>
      <c r="X11" s="56">
        <f>-L11</f>
        <v>90.051217679591176</v>
      </c>
      <c r="Z11" s="45">
        <v>5</v>
      </c>
      <c r="AA11" s="43">
        <f t="shared" si="0"/>
        <v>99.619469809174561</v>
      </c>
      <c r="AB11" s="43">
        <f t="shared" si="1"/>
        <v>8.7155742747658174</v>
      </c>
      <c r="AC11" s="43">
        <f t="shared" si="2"/>
        <v>39.84778792366982</v>
      </c>
      <c r="AD11" s="43">
        <f t="shared" si="3"/>
        <v>3.4862297099063264</v>
      </c>
      <c r="AE11" s="43">
        <f t="shared" ref="AE11:AE74" si="11">$C$7*COS(RADIANS(Z11))</f>
        <v>63.00488477907421</v>
      </c>
      <c r="AF11" s="43">
        <f t="shared" ref="AF11:AF74" si="12">$C$7*SIN(RADIANS(Z11))</f>
        <v>5.5122131649260337</v>
      </c>
      <c r="AG11" s="43">
        <f t="shared" si="4"/>
        <v>114.56239028055073</v>
      </c>
      <c r="AH11" s="43">
        <f t="shared" si="5"/>
        <v>10.022910415980688</v>
      </c>
      <c r="AI11" s="46">
        <v>15</v>
      </c>
      <c r="AJ11" s="43">
        <f t="shared" si="6"/>
        <v>96.592582628906825</v>
      </c>
      <c r="AK11" s="43">
        <f t="shared" si="7"/>
        <v>25.881904510252074</v>
      </c>
      <c r="AL11" s="43">
        <f>AL10+15</f>
        <v>118.00856793544385</v>
      </c>
      <c r="AM11" s="43">
        <f t="shared" si="8"/>
        <v>101.53089856516806</v>
      </c>
      <c r="AN11" s="43">
        <f t="shared" si="9"/>
        <v>-54.00441312105476</v>
      </c>
      <c r="AO11" s="43">
        <f t="shared" ref="AO11:AO34" si="13">1.225*$C$5*SIN(RADIANS(AL11))</f>
        <v>108.1524789063747</v>
      </c>
      <c r="AP11" s="43">
        <f t="shared" ref="AP11:AP34" si="14">1.225*$C$5*COS(RADIANS(AL11))</f>
        <v>-57.526440063732259</v>
      </c>
      <c r="AQ11" s="43">
        <f>1.05*$C$5*SIN(RADIANS(AQ7*15))</f>
        <v>-99.427663596986093</v>
      </c>
      <c r="AR11" s="43">
        <f>1.05*$C$5*COS(RADIANS(AQ7*15))</f>
        <v>33.751143856831952</v>
      </c>
      <c r="AU11" s="43">
        <v>2</v>
      </c>
      <c r="AV11" s="43">
        <v>60</v>
      </c>
      <c r="AW11" s="46">
        <v>2</v>
      </c>
      <c r="AX11" s="44">
        <v>-22.98</v>
      </c>
      <c r="AY11" s="43">
        <f>AY10+(360-280.46)/79</f>
        <v>281.46683544303795</v>
      </c>
      <c r="AZ11" s="45">
        <v>5</v>
      </c>
      <c r="BA11" s="43">
        <f t="shared" ref="BA11:BA42" si="15">0.7*$C$5*COS(RADIANS($BC$8-AZ11))+$BB$5</f>
        <v>-75.524360014958091</v>
      </c>
      <c r="BB11" s="43">
        <f t="shared" ref="BB11:BB42" si="16">0.7*$C$5*SIN(RADIANS($BC$8-AZ11))+$BC$5</f>
        <v>31.818512149020307</v>
      </c>
      <c r="BC11" s="43">
        <f t="shared" ref="BC11:BC42" si="17">0.58*$C$5*COS(RADIANS($BC$8-AZ11))+$BB$5</f>
        <v>-63.531060346834046</v>
      </c>
      <c r="BD11" s="43">
        <f t="shared" ref="BD11:BD42" si="18">0.58*$C$5*SIN(RADIANS($BC$8-AZ11))+$BC$5</f>
        <v>31.417559445356041</v>
      </c>
      <c r="BE11" s="43">
        <f t="shared" ref="BE11:BE42" si="19">0.5*$C$5*COS(RADIANS($BC$8-AZ11))+$BB$5</f>
        <v>-55.535527234751356</v>
      </c>
      <c r="BF11" s="43">
        <f t="shared" ref="BF11:BF42" si="20">0.5*$C$5*SIN(RADIANS($BC$8-AZ11))+$BC$5</f>
        <v>31.150257642913196</v>
      </c>
      <c r="BG11" s="46">
        <v>0</v>
      </c>
      <c r="BH11" s="43">
        <f>0.8*$C$5*COS(RADIANS(90-$BA$8))</f>
        <v>-14.835854091292017</v>
      </c>
      <c r="BI11" s="43">
        <f>0.8*$C$5*SIN(RADIANS(90-$BA$8+BG11))</f>
        <v>78.612323673721122</v>
      </c>
    </row>
    <row r="12" spans="2:62" x14ac:dyDescent="0.2">
      <c r="B12" s="57"/>
      <c r="L12" s="43">
        <f>$C$11*COS(RADIANS((L$10-6)*$K11))</f>
        <v>-43.483079399586003</v>
      </c>
      <c r="M12" s="44">
        <f t="shared" ref="M12:R12" si="21">$C$11*COS(RADIANS((M$10-6)*$K11))</f>
        <v>-11.283510543309047</v>
      </c>
      <c r="N12" s="43">
        <f t="shared" si="21"/>
        <v>22.183750817288381</v>
      </c>
      <c r="O12" s="43">
        <f t="shared" si="21"/>
        <v>53.158687247550539</v>
      </c>
      <c r="P12" s="43">
        <f t="shared" si="21"/>
        <v>78.161291830859568</v>
      </c>
      <c r="Q12" s="43">
        <f t="shared" si="21"/>
        <v>94.382543890796185</v>
      </c>
      <c r="R12" s="43">
        <f t="shared" si="21"/>
        <v>99.999999998239076</v>
      </c>
      <c r="S12" s="43">
        <f>Q12</f>
        <v>94.382543890796185</v>
      </c>
      <c r="T12" s="43">
        <f>P12</f>
        <v>78.161291830859568</v>
      </c>
      <c r="U12" s="43">
        <f>O12</f>
        <v>53.158687247550539</v>
      </c>
      <c r="V12" s="43">
        <f>N12</f>
        <v>22.183750817288381</v>
      </c>
      <c r="W12" s="43">
        <f>M12</f>
        <v>-11.283510543309047</v>
      </c>
      <c r="X12" s="56">
        <f>L12</f>
        <v>-43.483079399586003</v>
      </c>
      <c r="Z12" s="45">
        <v>10</v>
      </c>
      <c r="AA12" s="43">
        <f t="shared" si="0"/>
        <v>98.480775301220802</v>
      </c>
      <c r="AB12" s="43">
        <f t="shared" si="1"/>
        <v>17.364817766693033</v>
      </c>
      <c r="AC12" s="43">
        <f t="shared" si="2"/>
        <v>39.392310120488318</v>
      </c>
      <c r="AD12" s="43">
        <f t="shared" si="3"/>
        <v>6.945927106677213</v>
      </c>
      <c r="AE12" s="43">
        <f t="shared" si="11"/>
        <v>62.284711138222491</v>
      </c>
      <c r="AF12" s="43">
        <f t="shared" si="12"/>
        <v>10.98247505930167</v>
      </c>
      <c r="AG12" s="43">
        <f t="shared" si="4"/>
        <v>113.25289159640391</v>
      </c>
      <c r="AH12" s="43">
        <f t="shared" si="5"/>
        <v>19.969540431696984</v>
      </c>
      <c r="AI12" s="46">
        <v>30</v>
      </c>
      <c r="AJ12" s="43">
        <f t="shared" si="6"/>
        <v>86.602540378443877</v>
      </c>
      <c r="AK12" s="43">
        <f t="shared" si="7"/>
        <v>49.999999999999993</v>
      </c>
      <c r="AL12" s="43">
        <f t="shared" ref="AL12:AL34" si="22">AL11+15</f>
        <v>133.00856793544386</v>
      </c>
      <c r="AM12" s="43">
        <f t="shared" si="8"/>
        <v>84.093946455118086</v>
      </c>
      <c r="AN12" s="43">
        <f t="shared" si="9"/>
        <v>-78.442387582248728</v>
      </c>
      <c r="AO12" s="43">
        <f t="shared" si="13"/>
        <v>89.578334267408422</v>
      </c>
      <c r="AP12" s="43">
        <f t="shared" si="14"/>
        <v>-83.558195468047572</v>
      </c>
      <c r="AU12" s="43">
        <v>3</v>
      </c>
      <c r="AV12" s="43">
        <v>91</v>
      </c>
      <c r="AW12" s="46">
        <v>3</v>
      </c>
      <c r="AX12" s="44">
        <v>-22.9</v>
      </c>
      <c r="AY12" s="43">
        <f t="shared" ref="AY12:AY75" si="23">AY11+(360-280.46)/79</f>
        <v>282.47367088607592</v>
      </c>
      <c r="AZ12" s="45">
        <v>10</v>
      </c>
      <c r="BA12" s="43">
        <f t="shared" si="15"/>
        <v>-75.054289850245226</v>
      </c>
      <c r="BB12" s="43">
        <f t="shared" si="16"/>
        <v>37.907107450166585</v>
      </c>
      <c r="BC12" s="43">
        <f t="shared" si="17"/>
        <v>-63.141573638929096</v>
      </c>
      <c r="BD12" s="43">
        <f t="shared" si="18"/>
        <v>36.462395552020098</v>
      </c>
      <c r="BE12" s="43">
        <f t="shared" si="19"/>
        <v>-55.199762831385023</v>
      </c>
      <c r="BF12" s="43">
        <f t="shared" si="20"/>
        <v>35.499254286589107</v>
      </c>
    </row>
    <row r="13" spans="2:62" x14ac:dyDescent="0.2">
      <c r="B13" s="54">
        <v>30</v>
      </c>
      <c r="C13" s="43">
        <f>(($C$5+$C$6)/2)/SIN(RADIANS(B13))*SIN(RADIANS(180)-RADIANS(B13)-ASIN(($C$5-$C$6)/($C$5+$C$6)*SIN(RADIANS(B13))))</f>
        <v>94.354733769419909</v>
      </c>
      <c r="D13" s="55">
        <v>20.149999999999999</v>
      </c>
      <c r="E13" s="43">
        <f>DEGREES(ACOS(-TAN(RADIANS($D$5))*TAN(RADIANS((D13))))/15)</f>
        <v>7.4395163174203871</v>
      </c>
      <c r="F13" s="43">
        <f>12-E13</f>
        <v>4.5604836825796129</v>
      </c>
      <c r="G13" s="43">
        <f>12+E13</f>
        <v>19.439516317420388</v>
      </c>
      <c r="H13" s="43">
        <f>G13-F13</f>
        <v>14.879032634840776</v>
      </c>
      <c r="I13" s="43">
        <f>H13/24</f>
        <v>0.61995969311836563</v>
      </c>
      <c r="J13" s="43">
        <f>I13*180</f>
        <v>111.59274476130581</v>
      </c>
      <c r="K13" s="43">
        <f>J13/6</f>
        <v>18.598790793550968</v>
      </c>
      <c r="L13" s="43">
        <f>$C$13*SIN(RADIANS((L$10-6)*$K13))</f>
        <v>-87.733210415059389</v>
      </c>
      <c r="M13" s="44">
        <f t="shared" ref="M13:R13" si="24">$C$13*SIN(RADIANS((M$10-6)*$K13))</f>
        <v>-94.225944450174055</v>
      </c>
      <c r="N13" s="43">
        <f t="shared" si="24"/>
        <v>-90.876805219104043</v>
      </c>
      <c r="O13" s="43">
        <f t="shared" si="24"/>
        <v>-78.035609367947572</v>
      </c>
      <c r="P13" s="43">
        <f t="shared" si="24"/>
        <v>-57.043616173974797</v>
      </c>
      <c r="Q13" s="43">
        <f t="shared" si="24"/>
        <v>-30.093433393204993</v>
      </c>
      <c r="R13" s="43">
        <f t="shared" si="24"/>
        <v>0</v>
      </c>
      <c r="S13" s="43">
        <f>-Q13</f>
        <v>30.093433393204993</v>
      </c>
      <c r="T13" s="43">
        <f>-P13</f>
        <v>57.043616173974797</v>
      </c>
      <c r="U13" s="43">
        <f>-O13</f>
        <v>78.035609367947572</v>
      </c>
      <c r="V13" s="43">
        <f>-N13</f>
        <v>90.876805219104043</v>
      </c>
      <c r="W13" s="43">
        <f>-M13</f>
        <v>94.225944450174055</v>
      </c>
      <c r="X13" s="56">
        <f>-L13</f>
        <v>87.733210415059389</v>
      </c>
      <c r="Z13" s="45">
        <v>15</v>
      </c>
      <c r="AA13" s="43">
        <f t="shared" si="0"/>
        <v>96.592582628906825</v>
      </c>
      <c r="AB13" s="43">
        <f t="shared" si="1"/>
        <v>25.881904510252074</v>
      </c>
      <c r="AC13" s="43">
        <f t="shared" si="2"/>
        <v>38.637033051562732</v>
      </c>
      <c r="AD13" s="43">
        <f t="shared" si="3"/>
        <v>10.35276180410083</v>
      </c>
      <c r="AE13" s="43">
        <f t="shared" si="11"/>
        <v>61.090513237072074</v>
      </c>
      <c r="AF13" s="43">
        <f t="shared" si="12"/>
        <v>16.36915368707627</v>
      </c>
      <c r="AG13" s="43">
        <f t="shared" si="4"/>
        <v>111.08147002324284</v>
      </c>
      <c r="AH13" s="43">
        <f t="shared" si="5"/>
        <v>29.764190186789882</v>
      </c>
      <c r="AI13" s="46">
        <v>45</v>
      </c>
      <c r="AJ13" s="43">
        <f t="shared" si="6"/>
        <v>70.710678118654755</v>
      </c>
      <c r="AK13" s="43">
        <f t="shared" si="7"/>
        <v>70.710678118654741</v>
      </c>
      <c r="AL13" s="43">
        <f t="shared" si="22"/>
        <v>148.00856793544386</v>
      </c>
      <c r="AM13" s="43">
        <f t="shared" si="8"/>
        <v>60.926130865969142</v>
      </c>
      <c r="AN13" s="43">
        <f t="shared" si="9"/>
        <v>-97.53464296188713</v>
      </c>
      <c r="AO13" s="43">
        <f t="shared" si="13"/>
        <v>64.899574183314968</v>
      </c>
      <c r="AP13" s="43">
        <f t="shared" si="14"/>
        <v>-103.8955979376624</v>
      </c>
      <c r="AU13" s="43">
        <v>4</v>
      </c>
      <c r="AV13" s="43">
        <v>121</v>
      </c>
      <c r="AW13" s="46">
        <v>4</v>
      </c>
      <c r="AX13" s="44">
        <v>-22.8</v>
      </c>
      <c r="AY13" s="43">
        <f t="shared" si="23"/>
        <v>283.48050632911389</v>
      </c>
      <c r="AZ13" s="45">
        <v>15</v>
      </c>
      <c r="BA13" s="43">
        <f t="shared" si="15"/>
        <v>-74.055352398665846</v>
      </c>
      <c r="BB13" s="43">
        <f t="shared" si="16"/>
        <v>43.931564493645752</v>
      </c>
      <c r="BC13" s="43">
        <f t="shared" si="17"/>
        <v>-62.313882607620464</v>
      </c>
      <c r="BD13" s="43">
        <f t="shared" si="18"/>
        <v>41.454088530902837</v>
      </c>
      <c r="BE13" s="43">
        <f t="shared" si="19"/>
        <v>-54.486236080256887</v>
      </c>
      <c r="BF13" s="43">
        <f t="shared" si="20"/>
        <v>39.802437889074227</v>
      </c>
      <c r="BG13" s="46">
        <v>30</v>
      </c>
      <c r="BH13" s="43">
        <f>BJ13*COS(RADIANS(90-$BA$8+BG13))</f>
        <v>-61.512667865655629</v>
      </c>
      <c r="BI13" s="43">
        <f>BJ13*SIN(RADIANS(90-$BA$8+BG13))</f>
        <v>71.547239476779566</v>
      </c>
      <c r="BJ13" s="43">
        <f>(0.7*$C$5*SIN(ASIN(3/7*SIN(RADIANS(BG13)))+RADIANS(BG13)))/SIN(RADIANS(BG13))</f>
        <v>94.354733769419894</v>
      </c>
    </row>
    <row r="14" spans="2:62" x14ac:dyDescent="0.2">
      <c r="B14" s="57"/>
      <c r="L14" s="43">
        <f>$C$13*COS(RADIANS((L$10-6)*$K13))</f>
        <v>-34.723184977260146</v>
      </c>
      <c r="M14" s="44">
        <f t="shared" ref="M14:R14" si="25">$C$13*COS(RADIANS((M$10-6)*$K13))</f>
        <v>-4.92820222503323</v>
      </c>
      <c r="N14" s="43">
        <f t="shared" si="25"/>
        <v>25.381529856711445</v>
      </c>
      <c r="O14" s="43">
        <f t="shared" si="25"/>
        <v>53.040168318654523</v>
      </c>
      <c r="P14" s="43">
        <f t="shared" si="25"/>
        <v>75.158776190770638</v>
      </c>
      <c r="Q14" s="43">
        <f t="shared" si="25"/>
        <v>89.427071132330198</v>
      </c>
      <c r="R14" s="43">
        <f t="shared" si="25"/>
        <v>94.354733769419909</v>
      </c>
      <c r="S14" s="43">
        <f>Q14</f>
        <v>89.427071132330198</v>
      </c>
      <c r="T14" s="43">
        <f t="shared" ref="T14:T24" si="26">P14</f>
        <v>75.158776190770638</v>
      </c>
      <c r="U14" s="43">
        <f t="shared" ref="U14:U24" si="27">O14</f>
        <v>53.040168318654523</v>
      </c>
      <c r="V14" s="43">
        <f t="shared" ref="V14:V24" si="28">N14</f>
        <v>25.381529856711445</v>
      </c>
      <c r="W14" s="43">
        <f t="shared" ref="W14:W24" si="29">M14</f>
        <v>-4.92820222503323</v>
      </c>
      <c r="X14" s="56">
        <f t="shared" ref="X14:X24" si="30">L14</f>
        <v>-34.723184977260146</v>
      </c>
      <c r="Z14" s="45">
        <v>20</v>
      </c>
      <c r="AA14" s="43">
        <f t="shared" si="0"/>
        <v>93.969262078590845</v>
      </c>
      <c r="AB14" s="43">
        <f t="shared" si="1"/>
        <v>34.202014332566868</v>
      </c>
      <c r="AC14" s="43">
        <f t="shared" si="2"/>
        <v>37.587704831436341</v>
      </c>
      <c r="AD14" s="43">
        <f t="shared" si="3"/>
        <v>13.680805733026748</v>
      </c>
      <c r="AE14" s="43">
        <f t="shared" si="11"/>
        <v>59.431379642727101</v>
      </c>
      <c r="AF14" s="43">
        <f t="shared" si="12"/>
        <v>21.631253171326989</v>
      </c>
      <c r="AG14" s="43">
        <f t="shared" si="4"/>
        <v>108.06465139037945</v>
      </c>
      <c r="AH14" s="43">
        <f t="shared" si="5"/>
        <v>39.332316482451894</v>
      </c>
      <c r="AI14" s="46">
        <v>60</v>
      </c>
      <c r="AJ14" s="43">
        <f t="shared" si="6"/>
        <v>50.000000000000014</v>
      </c>
      <c r="AK14" s="43">
        <f t="shared" si="7"/>
        <v>86.602540378443862</v>
      </c>
      <c r="AL14" s="43">
        <f t="shared" si="22"/>
        <v>163.00856793544386</v>
      </c>
      <c r="AM14" s="43">
        <f t="shared" si="8"/>
        <v>33.606300143496206</v>
      </c>
      <c r="AN14" s="43">
        <f t="shared" si="9"/>
        <v>-109.98007360729144</v>
      </c>
      <c r="AO14" s="43">
        <f t="shared" si="13"/>
        <v>35.79801537024597</v>
      </c>
      <c r="AP14" s="43">
        <f t="shared" si="14"/>
        <v>-117.15268710341918</v>
      </c>
      <c r="AU14" s="43">
        <v>5</v>
      </c>
      <c r="AV14" s="43">
        <v>152</v>
      </c>
      <c r="AW14" s="46">
        <v>5</v>
      </c>
      <c r="AX14" s="44">
        <v>-22.7</v>
      </c>
      <c r="AY14" s="43">
        <f t="shared" si="23"/>
        <v>284.48734177215186</v>
      </c>
      <c r="AZ14" s="45">
        <v>20</v>
      </c>
      <c r="BA14" s="43">
        <f t="shared" si="15"/>
        <v>-72.535150177401391</v>
      </c>
      <c r="BB14" s="43">
        <f t="shared" si="16"/>
        <v>49.846033523690352</v>
      </c>
      <c r="BC14" s="43">
        <f t="shared" si="17"/>
        <v>-61.054286481429919</v>
      </c>
      <c r="BD14" s="43">
        <f t="shared" si="18"/>
        <v>46.354648584368363</v>
      </c>
      <c r="BE14" s="43">
        <f t="shared" si="19"/>
        <v>-53.400377350782279</v>
      </c>
      <c r="BF14" s="43">
        <f t="shared" si="20"/>
        <v>44.02705862482037</v>
      </c>
      <c r="BG14" s="46">
        <v>30</v>
      </c>
      <c r="BH14" s="43">
        <f>BJ14*COS(RADIANS(90-$BA$8+BG14))</f>
        <v>-48.032706709779163</v>
      </c>
      <c r="BI14" s="43">
        <f>BJ14*SIN(RADIANS(90-$BA$8+BG14))</f>
        <v>55.868290043736629</v>
      </c>
      <c r="BJ14" s="43">
        <f>(0.5*$C$5*SIN(ASIN(3/5*SIN(RADIANS(BG13)))+RADIANS(BG13)))/SIN(RADIANS(BG13))</f>
        <v>73.677722184380443</v>
      </c>
    </row>
    <row r="15" spans="2:62" x14ac:dyDescent="0.2">
      <c r="B15" s="54">
        <v>60</v>
      </c>
      <c r="C15" s="43">
        <f>(($C$5+$C$6)/2)/SIN(RADIANS(B15))*SIN(RADIANS(180)-RADIANS(B15)-ASIN(($C$5-$C$6)/($C$5+$C$6)*SIN(RADIANS(B15))))</f>
        <v>80</v>
      </c>
      <c r="D15" s="55">
        <v>11.48</v>
      </c>
      <c r="E15" s="43">
        <f>DEGREES(ACOS(-TAN(RADIANS($D$5))*TAN(RADIANS((D15))))/15)</f>
        <v>6.7834842495532595</v>
      </c>
      <c r="F15" s="43">
        <f>12-E15</f>
        <v>5.2165157504467405</v>
      </c>
      <c r="G15" s="43">
        <f>12+E15</f>
        <v>18.783484249553261</v>
      </c>
      <c r="H15" s="43">
        <f>G15-F15</f>
        <v>13.566968499106521</v>
      </c>
      <c r="I15" s="43">
        <f>H15/24</f>
        <v>0.5652903541294384</v>
      </c>
      <c r="J15" s="43">
        <f>I15*180</f>
        <v>101.75226374329891</v>
      </c>
      <c r="K15" s="43">
        <f>J15/6</f>
        <v>16.958710623883153</v>
      </c>
      <c r="L15" s="43">
        <f>$C$15*SIN(RADIANS((L$10-6)*$K15))</f>
        <v>-78.322994070469477</v>
      </c>
      <c r="M15" s="44">
        <f t="shared" ref="M15:R15" si="31">$C$15*SIN(RADIANS((M$10-6)*$K15))</f>
        <v>-79.669935551834541</v>
      </c>
      <c r="N15" s="43">
        <f t="shared" si="31"/>
        <v>-74.088014778283224</v>
      </c>
      <c r="O15" s="43">
        <f t="shared" si="31"/>
        <v>-62.062689154668448</v>
      </c>
      <c r="P15" s="43">
        <f t="shared" si="31"/>
        <v>-44.639796414376249</v>
      </c>
      <c r="Q15" s="43">
        <f t="shared" si="31"/>
        <v>-23.334598532246879</v>
      </c>
      <c r="R15" s="43">
        <f t="shared" si="31"/>
        <v>0</v>
      </c>
      <c r="S15" s="43">
        <f>-Q15</f>
        <v>23.334598532246879</v>
      </c>
      <c r="T15" s="43">
        <f>-P15</f>
        <v>44.639796414376249</v>
      </c>
      <c r="U15" s="43">
        <f>-O15</f>
        <v>62.062689154668448</v>
      </c>
      <c r="V15" s="43">
        <f>-N15</f>
        <v>74.088014778283224</v>
      </c>
      <c r="W15" s="43">
        <f>-M15</f>
        <v>79.669935551834541</v>
      </c>
      <c r="X15" s="56">
        <f>-L15</f>
        <v>78.322994070469477</v>
      </c>
      <c r="Z15" s="45">
        <v>25</v>
      </c>
      <c r="AA15" s="43">
        <f t="shared" si="0"/>
        <v>90.630778703664987</v>
      </c>
      <c r="AB15" s="43">
        <f t="shared" si="1"/>
        <v>42.261826174069945</v>
      </c>
      <c r="AC15" s="43">
        <f t="shared" si="2"/>
        <v>36.252311481465995</v>
      </c>
      <c r="AD15" s="43">
        <f t="shared" si="3"/>
        <v>16.904730469627978</v>
      </c>
      <c r="AE15" s="43">
        <f t="shared" si="11"/>
        <v>57.319937363652791</v>
      </c>
      <c r="AF15" s="43">
        <f t="shared" si="12"/>
        <v>26.728725757636138</v>
      </c>
      <c r="AG15" s="43">
        <f t="shared" si="4"/>
        <v>104.22539550921474</v>
      </c>
      <c r="AH15" s="43">
        <f t="shared" si="5"/>
        <v>48.601100100180432</v>
      </c>
      <c r="AI15" s="46">
        <v>75</v>
      </c>
      <c r="AJ15" s="43">
        <f t="shared" si="6"/>
        <v>25.881904510252074</v>
      </c>
      <c r="AK15" s="43">
        <f t="shared" si="7"/>
        <v>96.592582628906825</v>
      </c>
      <c r="AL15" s="43">
        <f t="shared" si="22"/>
        <v>178.00856793544386</v>
      </c>
      <c r="AM15" s="43">
        <f t="shared" si="8"/>
        <v>3.9962556032809284</v>
      </c>
      <c r="AN15" s="43">
        <f t="shared" si="9"/>
        <v>-114.93054398702394</v>
      </c>
      <c r="AO15" s="43">
        <f t="shared" si="13"/>
        <v>4.2568809687122942</v>
      </c>
      <c r="AP15" s="43">
        <f t="shared" si="14"/>
        <v>-122.42601424704726</v>
      </c>
      <c r="AU15" s="43">
        <v>6</v>
      </c>
      <c r="AV15" s="43">
        <v>182</v>
      </c>
      <c r="AW15" s="46">
        <v>6</v>
      </c>
      <c r="AX15" s="44">
        <v>-22.6</v>
      </c>
      <c r="AY15" s="43">
        <f t="shared" si="23"/>
        <v>285.49417721518984</v>
      </c>
      <c r="AZ15" s="45">
        <v>25</v>
      </c>
      <c r="BA15" s="43">
        <f t="shared" si="15"/>
        <v>-70.505252843278896</v>
      </c>
      <c r="BB15" s="43">
        <f t="shared" si="16"/>
        <v>55.605501859727639</v>
      </c>
      <c r="BC15" s="43">
        <f t="shared" si="17"/>
        <v>-59.372371547442704</v>
      </c>
      <c r="BD15" s="43">
        <f t="shared" si="18"/>
        <v>51.126779491370684</v>
      </c>
      <c r="BE15" s="43">
        <f t="shared" si="19"/>
        <v>-51.950450683551928</v>
      </c>
      <c r="BF15" s="43">
        <f t="shared" si="20"/>
        <v>48.140964579132714</v>
      </c>
    </row>
    <row r="16" spans="2:62" x14ac:dyDescent="0.2">
      <c r="B16" s="57"/>
      <c r="L16" s="43">
        <f>$C$15*COS(RADIANS((L$10-6)*$K15))</f>
        <v>-16.294434627725018</v>
      </c>
      <c r="M16" s="44">
        <f t="shared" ref="M16:R16" si="32">$C$15*COS(RADIANS((M$10-6)*$K15))</f>
        <v>7.2595708665547063</v>
      </c>
      <c r="N16" s="43">
        <f t="shared" si="32"/>
        <v>30.182214402076035</v>
      </c>
      <c r="O16" s="43">
        <f t="shared" si="32"/>
        <v>50.479922889115024</v>
      </c>
      <c r="P16" s="43">
        <f t="shared" si="32"/>
        <v>66.387412783471547</v>
      </c>
      <c r="Q16" s="43">
        <f t="shared" si="32"/>
        <v>76.521216086382623</v>
      </c>
      <c r="R16" s="43">
        <f t="shared" si="32"/>
        <v>80</v>
      </c>
      <c r="S16" s="43">
        <f>Q16</f>
        <v>76.521216086382623</v>
      </c>
      <c r="T16" s="43">
        <f t="shared" si="26"/>
        <v>66.387412783471547</v>
      </c>
      <c r="U16" s="43">
        <f t="shared" si="27"/>
        <v>50.479922889115024</v>
      </c>
      <c r="V16" s="43">
        <f t="shared" si="28"/>
        <v>30.182214402076035</v>
      </c>
      <c r="W16" s="43">
        <f t="shared" si="29"/>
        <v>7.2595708665547063</v>
      </c>
      <c r="X16" s="56">
        <f t="shared" si="30"/>
        <v>-16.294434627725018</v>
      </c>
      <c r="Z16" s="45">
        <v>30</v>
      </c>
      <c r="AA16" s="43">
        <f t="shared" si="0"/>
        <v>86.602540378443877</v>
      </c>
      <c r="AB16" s="43">
        <f t="shared" si="1"/>
        <v>49.999999999999993</v>
      </c>
      <c r="AC16" s="43">
        <f t="shared" si="2"/>
        <v>34.641016151377549</v>
      </c>
      <c r="AD16" s="43">
        <f t="shared" si="3"/>
        <v>19.999999999999996</v>
      </c>
      <c r="AE16" s="43">
        <f t="shared" si="11"/>
        <v>54.772255750516621</v>
      </c>
      <c r="AF16" s="43">
        <f t="shared" si="12"/>
        <v>31.622776601683793</v>
      </c>
      <c r="AG16" s="43">
        <f t="shared" si="4"/>
        <v>99.592921435210442</v>
      </c>
      <c r="AH16" s="43">
        <f t="shared" si="5"/>
        <v>57.499999999999986</v>
      </c>
      <c r="AI16" s="46">
        <v>90</v>
      </c>
      <c r="AJ16" s="43">
        <f t="shared" si="6"/>
        <v>6.1257422745431001E-15</v>
      </c>
      <c r="AK16" s="43">
        <f t="shared" si="7"/>
        <v>100</v>
      </c>
      <c r="AL16" s="43">
        <f t="shared" si="22"/>
        <v>193.00856793544386</v>
      </c>
      <c r="AM16" s="43">
        <f t="shared" si="8"/>
        <v>-25.886127152173358</v>
      </c>
      <c r="AN16" s="43">
        <f t="shared" si="9"/>
        <v>-112.04868772574497</v>
      </c>
      <c r="AO16" s="43">
        <f t="shared" si="13"/>
        <v>-27.574352836010757</v>
      </c>
      <c r="AP16" s="43">
        <f t="shared" si="14"/>
        <v>-119.35621083829358</v>
      </c>
      <c r="AU16" s="43">
        <v>7</v>
      </c>
      <c r="AV16" s="43">
        <v>213</v>
      </c>
      <c r="AW16" s="46">
        <v>7</v>
      </c>
      <c r="AX16" s="44">
        <v>-22.47</v>
      </c>
      <c r="AY16" s="43">
        <f t="shared" si="23"/>
        <v>286.50101265822781</v>
      </c>
      <c r="AZ16" s="45">
        <v>30</v>
      </c>
      <c r="BA16" s="43">
        <f t="shared" si="15"/>
        <v>-67.98110914069656</v>
      </c>
      <c r="BB16" s="43">
        <f t="shared" si="16"/>
        <v>61.166136470058333</v>
      </c>
      <c r="BC16" s="43">
        <f t="shared" si="17"/>
        <v>-57.280938193874476</v>
      </c>
      <c r="BD16" s="43">
        <f t="shared" si="18"/>
        <v>55.734162454216111</v>
      </c>
      <c r="BE16" s="43">
        <f t="shared" si="19"/>
        <v>-50.147490895993108</v>
      </c>
      <c r="BF16" s="43">
        <f t="shared" si="20"/>
        <v>52.112846443654639</v>
      </c>
      <c r="BG16" s="46">
        <v>60</v>
      </c>
      <c r="BH16" s="43">
        <f>BJ16*COS(RADIANS(90-$BA$8+BG16))</f>
        <v>-75.498196397613327</v>
      </c>
      <c r="BI16" s="43">
        <f>BJ16*SIN(RADIANS(90-$BA$8+BG16))</f>
        <v>26.457935306962398</v>
      </c>
      <c r="BJ16" s="43">
        <f>(0.7*$C$5*SIN(ASIN(3/7*SIN(RADIANS(BG16)))+RADIANS(BG16)))/SIN(RADIANS(BG16))</f>
        <v>80</v>
      </c>
    </row>
    <row r="17" spans="2:62" x14ac:dyDescent="0.2">
      <c r="B17" s="54">
        <v>90</v>
      </c>
      <c r="C17" s="43">
        <f>(($C$5+$C$6)/2)/SIN(RADIANS(B17))*SIN(RADIANS(180)-RADIANS(B17)-ASIN(($C$5-$C$6)/($C$5+$C$6)*SIN(RADIANS(B17))))</f>
        <v>63.245553203367592</v>
      </c>
      <c r="D17" s="55">
        <v>0</v>
      </c>
      <c r="E17" s="43">
        <f>DEGREES(ACOS(-TAN(RADIANS($D$5))*TAN(RADIANS((D17))))/15)</f>
        <v>6</v>
      </c>
      <c r="F17" s="43">
        <f>12-E17</f>
        <v>6</v>
      </c>
      <c r="G17" s="43">
        <f>12+E17</f>
        <v>18</v>
      </c>
      <c r="H17" s="43">
        <f>G17-F17</f>
        <v>12</v>
      </c>
      <c r="I17" s="43">
        <f>H17/24</f>
        <v>0.5</v>
      </c>
      <c r="J17" s="43">
        <f>I17*180</f>
        <v>90</v>
      </c>
      <c r="K17" s="43">
        <f>J17/6</f>
        <v>15</v>
      </c>
      <c r="L17" s="43">
        <f>$C$17*SIN(RADIANS((L$10-6)*$K17))</f>
        <v>-63.245553203367592</v>
      </c>
      <c r="M17" s="44">
        <f t="shared" ref="M17:R17" si="33">$C$17*SIN(RADIANS((M$10-6)*$K17))</f>
        <v>-61.090513237072074</v>
      </c>
      <c r="N17" s="43">
        <f t="shared" si="33"/>
        <v>-54.772255750516614</v>
      </c>
      <c r="O17" s="43">
        <f t="shared" si="33"/>
        <v>-44.721359549995796</v>
      </c>
      <c r="P17" s="43">
        <f t="shared" si="33"/>
        <v>-31.622776601683793</v>
      </c>
      <c r="Q17" s="43">
        <f t="shared" si="33"/>
        <v>-16.36915368707627</v>
      </c>
      <c r="R17" s="43">
        <f t="shared" si="33"/>
        <v>0</v>
      </c>
      <c r="S17" s="43">
        <f>-Q17</f>
        <v>16.36915368707627</v>
      </c>
      <c r="T17" s="43">
        <f>-P17</f>
        <v>31.622776601683793</v>
      </c>
      <c r="U17" s="43">
        <f>-O17</f>
        <v>44.721359549995796</v>
      </c>
      <c r="V17" s="43">
        <f>-N17</f>
        <v>54.772255750516614</v>
      </c>
      <c r="W17" s="43">
        <f>-M17</f>
        <v>61.090513237072074</v>
      </c>
      <c r="X17" s="56">
        <f>-L17</f>
        <v>63.245553203367592</v>
      </c>
      <c r="Z17" s="45">
        <v>35</v>
      </c>
      <c r="AA17" s="43">
        <f t="shared" si="0"/>
        <v>81.915204428899173</v>
      </c>
      <c r="AB17" s="43">
        <f t="shared" si="1"/>
        <v>57.357643635104608</v>
      </c>
      <c r="AC17" s="43">
        <f t="shared" si="2"/>
        <v>32.766081771559669</v>
      </c>
      <c r="AD17" s="43">
        <f t="shared" si="3"/>
        <v>22.943057454041842</v>
      </c>
      <c r="AE17" s="43">
        <f t="shared" si="11"/>
        <v>51.80772419872676</v>
      </c>
      <c r="AF17" s="43">
        <f t="shared" si="12"/>
        <v>36.276159021438069</v>
      </c>
      <c r="AG17" s="43">
        <f t="shared" si="4"/>
        <v>94.202485093234046</v>
      </c>
      <c r="AH17" s="43">
        <f t="shared" si="5"/>
        <v>65.961290180370284</v>
      </c>
      <c r="AI17" s="46">
        <v>105</v>
      </c>
      <c r="AJ17" s="43">
        <f t="shared" si="6"/>
        <v>-25.881904510252085</v>
      </c>
      <c r="AK17" s="43">
        <f t="shared" si="7"/>
        <v>96.592582628906825</v>
      </c>
      <c r="AL17" s="43">
        <f t="shared" si="22"/>
        <v>208.00856793544386</v>
      </c>
      <c r="AM17" s="43">
        <f t="shared" si="8"/>
        <v>-54.004413121054803</v>
      </c>
      <c r="AN17" s="43">
        <f t="shared" si="9"/>
        <v>-101.53089856516803</v>
      </c>
      <c r="AO17" s="43">
        <f t="shared" si="13"/>
        <v>-57.526440063732302</v>
      </c>
      <c r="AP17" s="43">
        <f t="shared" si="14"/>
        <v>-108.15247890637467</v>
      </c>
      <c r="AU17" s="43">
        <v>8</v>
      </c>
      <c r="AV17" s="43">
        <v>244</v>
      </c>
      <c r="AW17" s="46">
        <v>8</v>
      </c>
      <c r="AX17" s="44">
        <v>-22.35</v>
      </c>
      <c r="AY17" s="43">
        <f t="shared" si="23"/>
        <v>287.50784810126578</v>
      </c>
      <c r="AZ17" s="45">
        <v>35</v>
      </c>
      <c r="BA17" s="43">
        <f t="shared" si="15"/>
        <v>-64.981929327350656</v>
      </c>
      <c r="BB17" s="43">
        <f t="shared" si="16"/>
        <v>66.485617567694831</v>
      </c>
      <c r="BC17" s="43">
        <f t="shared" si="17"/>
        <v>-54.795903491387875</v>
      </c>
      <c r="BD17" s="43">
        <f t="shared" si="18"/>
        <v>60.141732506543505</v>
      </c>
      <c r="BE17" s="43">
        <f t="shared" si="19"/>
        <v>-48.005219600746038</v>
      </c>
      <c r="BF17" s="43">
        <f t="shared" si="20"/>
        <v>55.912475799109288</v>
      </c>
      <c r="BG17" s="46">
        <v>60</v>
      </c>
      <c r="BH17" s="43">
        <f>BJ17*COS(RADIANS(90-$BA$8+BG17))</f>
        <v>-54.47196637367292</v>
      </c>
      <c r="BI17" s="43">
        <f>BJ17*SIN(RADIANS(90-$BA$8+BG17))</f>
        <v>19.089406517308927</v>
      </c>
      <c r="BJ17" s="43">
        <f>(0.5*$C$5*SIN(ASIN(3/5*SIN(RADIANS(BG16)))+RADIANS(BG16)))/SIN(RADIANS(BG16))</f>
        <v>57.720018726587654</v>
      </c>
    </row>
    <row r="18" spans="2:62" x14ac:dyDescent="0.2">
      <c r="B18" s="57"/>
      <c r="L18" s="43">
        <f>$C$17*COS(RADIANS((L$10-6)*$K17))</f>
        <v>3.8742595893473368E-15</v>
      </c>
      <c r="M18" s="44">
        <f t="shared" ref="M18:R18" si="34">$C$17*COS(RADIANS((M$10-6)*$K17))</f>
        <v>16.36915368707627</v>
      </c>
      <c r="N18" s="43">
        <f t="shared" si="34"/>
        <v>31.622776601683803</v>
      </c>
      <c r="O18" s="43">
        <f t="shared" si="34"/>
        <v>44.721359549995803</v>
      </c>
      <c r="P18" s="43">
        <f t="shared" si="34"/>
        <v>54.772255750516621</v>
      </c>
      <c r="Q18" s="43">
        <f t="shared" si="34"/>
        <v>61.090513237072074</v>
      </c>
      <c r="R18" s="43">
        <f t="shared" si="34"/>
        <v>63.245553203367592</v>
      </c>
      <c r="S18" s="43">
        <f t="shared" ref="S18:S24" si="35">Q18</f>
        <v>61.090513237072074</v>
      </c>
      <c r="T18" s="43">
        <f t="shared" si="26"/>
        <v>54.772255750516621</v>
      </c>
      <c r="U18" s="43">
        <f t="shared" si="27"/>
        <v>44.721359549995803</v>
      </c>
      <c r="V18" s="43">
        <f t="shared" si="28"/>
        <v>31.622776601683803</v>
      </c>
      <c r="W18" s="43">
        <f t="shared" si="29"/>
        <v>16.36915368707627</v>
      </c>
      <c r="X18" s="56">
        <f t="shared" si="30"/>
        <v>3.8742595893473368E-15</v>
      </c>
      <c r="Z18" s="45">
        <v>40</v>
      </c>
      <c r="AA18" s="43">
        <f t="shared" si="0"/>
        <v>76.604444311897808</v>
      </c>
      <c r="AB18" s="43">
        <f t="shared" si="1"/>
        <v>64.278760968653927</v>
      </c>
      <c r="AC18" s="43">
        <f t="shared" si="2"/>
        <v>30.64177772475912</v>
      </c>
      <c r="AD18" s="43">
        <f t="shared" si="3"/>
        <v>25.71150438746157</v>
      </c>
      <c r="AE18" s="43">
        <f t="shared" si="11"/>
        <v>48.448904583425424</v>
      </c>
      <c r="AF18" s="43">
        <f t="shared" si="12"/>
        <v>40.653457966895502</v>
      </c>
      <c r="AG18" s="43">
        <f t="shared" si="4"/>
        <v>88.095110958682454</v>
      </c>
      <c r="AH18" s="43">
        <f t="shared" si="5"/>
        <v>73.920575113952012</v>
      </c>
      <c r="AI18" s="46">
        <v>120</v>
      </c>
      <c r="AJ18" s="43">
        <f t="shared" si="6"/>
        <v>-49.999999999999979</v>
      </c>
      <c r="AK18" s="43">
        <f t="shared" si="7"/>
        <v>86.602540378443877</v>
      </c>
      <c r="AL18" s="43">
        <f t="shared" si="22"/>
        <v>223.00856793544386</v>
      </c>
      <c r="AM18" s="43">
        <f t="shared" si="8"/>
        <v>-78.442387582248728</v>
      </c>
      <c r="AN18" s="43">
        <f t="shared" si="9"/>
        <v>-84.093946455118086</v>
      </c>
      <c r="AO18" s="43">
        <f t="shared" si="13"/>
        <v>-83.558195468047572</v>
      </c>
      <c r="AP18" s="43">
        <f t="shared" si="14"/>
        <v>-89.578334267408422</v>
      </c>
      <c r="AU18" s="43">
        <v>9</v>
      </c>
      <c r="AV18" s="43">
        <v>274</v>
      </c>
      <c r="AW18" s="46">
        <v>9</v>
      </c>
      <c r="AX18" s="44">
        <v>-22.22</v>
      </c>
      <c r="AY18" s="43">
        <f t="shared" si="23"/>
        <v>288.51468354430375</v>
      </c>
      <c r="AZ18" s="45">
        <v>40</v>
      </c>
      <c r="BA18" s="43">
        <f t="shared" si="15"/>
        <v>-61.53053897257503</v>
      </c>
      <c r="BB18" s="43">
        <f t="shared" si="16"/>
        <v>71.523460689493646</v>
      </c>
      <c r="BC18" s="43">
        <f t="shared" si="17"/>
        <v>-51.936180054573789</v>
      </c>
      <c r="BD18" s="43">
        <f t="shared" si="18"/>
        <v>64.315945378891087</v>
      </c>
      <c r="BE18" s="43">
        <f t="shared" si="19"/>
        <v>-45.53994077590631</v>
      </c>
      <c r="BF18" s="43">
        <f t="shared" si="20"/>
        <v>59.510935171822723</v>
      </c>
    </row>
    <row r="19" spans="2:62" x14ac:dyDescent="0.2">
      <c r="B19" s="54">
        <v>120</v>
      </c>
      <c r="C19" s="43">
        <f>(($C$5+$C$6)/2)/SIN(RADIANS(B19))*SIN(RADIANS(180)-RADIANS(B19)-ASIN(($C$5-$C$6)/($C$5+$C$6)*SIN(RADIANS(B19))))</f>
        <v>50.000000000000007</v>
      </c>
      <c r="D19" s="55">
        <v>-11.48</v>
      </c>
      <c r="E19" s="43">
        <f>DEGREES(ACOS(-TAN(RADIANS($D$5))*TAN(RADIANS((D19))))/15)</f>
        <v>5.2165157504467414</v>
      </c>
      <c r="F19" s="43">
        <f>12-E19</f>
        <v>6.7834842495532586</v>
      </c>
      <c r="G19" s="43">
        <f>12+E19</f>
        <v>17.216515750446742</v>
      </c>
      <c r="H19" s="43">
        <f>G19-F19</f>
        <v>10.433031500893485</v>
      </c>
      <c r="I19" s="43">
        <f>H19/24</f>
        <v>0.43470964587056188</v>
      </c>
      <c r="J19" s="43">
        <f>I19*180</f>
        <v>78.247736256701131</v>
      </c>
      <c r="K19" s="43">
        <f>J19/6</f>
        <v>13.041289376116856</v>
      </c>
      <c r="L19" s="43">
        <f>$C$19*SIN(RADIANS((L$10-6)*$K19))</f>
        <v>-48.951871294043436</v>
      </c>
      <c r="M19" s="44">
        <f t="shared" ref="M19:R19" si="36">$C$19*SIN(RADIANS((M$10-6)*$K19))</f>
        <v>-45.391233461896938</v>
      </c>
      <c r="N19" s="43">
        <f t="shared" si="36"/>
        <v>-39.48910737738003</v>
      </c>
      <c r="O19" s="43">
        <f t="shared" si="36"/>
        <v>-31.549951805696914</v>
      </c>
      <c r="P19" s="43">
        <f t="shared" si="36"/>
        <v>-21.983304846763783</v>
      </c>
      <c r="Q19" s="43">
        <f t="shared" si="36"/>
        <v>-11.282658079471531</v>
      </c>
      <c r="R19" s="43">
        <f t="shared" si="36"/>
        <v>0</v>
      </c>
      <c r="S19" s="43">
        <f>-Q19</f>
        <v>11.282658079471531</v>
      </c>
      <c r="T19" s="43">
        <f>-P19</f>
        <v>21.983304846763783</v>
      </c>
      <c r="U19" s="43">
        <f>-O19</f>
        <v>31.549951805696914</v>
      </c>
      <c r="V19" s="43">
        <f>-N19</f>
        <v>39.48910737738003</v>
      </c>
      <c r="W19" s="43">
        <f>-M19</f>
        <v>45.391233461896938</v>
      </c>
      <c r="X19" s="56">
        <f>-L19</f>
        <v>48.951871294043436</v>
      </c>
      <c r="Z19" s="45">
        <v>45</v>
      </c>
      <c r="AA19" s="43">
        <f t="shared" si="0"/>
        <v>70.710678118654755</v>
      </c>
      <c r="AB19" s="43">
        <f t="shared" si="1"/>
        <v>70.710678118654741</v>
      </c>
      <c r="AC19" s="43">
        <f t="shared" si="2"/>
        <v>28.284271247461902</v>
      </c>
      <c r="AD19" s="43">
        <f t="shared" si="3"/>
        <v>28.284271247461898</v>
      </c>
      <c r="AE19" s="43">
        <f t="shared" si="11"/>
        <v>44.721359549995803</v>
      </c>
      <c r="AF19" s="43">
        <f t="shared" si="12"/>
        <v>44.721359549995796</v>
      </c>
      <c r="AG19" s="43">
        <f t="shared" si="4"/>
        <v>81.317279836452954</v>
      </c>
      <c r="AH19" s="43">
        <f t="shared" si="5"/>
        <v>81.317279836452954</v>
      </c>
      <c r="AI19" s="46">
        <v>135</v>
      </c>
      <c r="AJ19" s="43">
        <f t="shared" si="6"/>
        <v>-70.710678118654741</v>
      </c>
      <c r="AK19" s="43">
        <f t="shared" si="7"/>
        <v>70.710678118654755</v>
      </c>
      <c r="AL19" s="43">
        <f t="shared" si="22"/>
        <v>238.00856793544386</v>
      </c>
      <c r="AM19" s="43">
        <f t="shared" si="8"/>
        <v>-97.534642961887158</v>
      </c>
      <c r="AN19" s="43">
        <f t="shared" si="9"/>
        <v>-60.926130865969107</v>
      </c>
      <c r="AO19" s="43">
        <f t="shared" si="13"/>
        <v>-103.89559793766243</v>
      </c>
      <c r="AP19" s="43">
        <f t="shared" si="14"/>
        <v>-64.899574183314925</v>
      </c>
      <c r="AU19" s="43">
        <v>10</v>
      </c>
      <c r="AV19" s="43">
        <v>305</v>
      </c>
      <c r="AW19" s="46">
        <v>10</v>
      </c>
      <c r="AX19" s="44">
        <v>-22.08</v>
      </c>
      <c r="AY19" s="43">
        <f t="shared" si="23"/>
        <v>289.52151898734172</v>
      </c>
      <c r="AZ19" s="45">
        <v>45</v>
      </c>
      <c r="BA19" s="43">
        <f t="shared" si="15"/>
        <v>-57.653205240975986</v>
      </c>
      <c r="BB19" s="43">
        <f t="shared" si="16"/>
        <v>76.241324807365032</v>
      </c>
      <c r="BC19" s="43">
        <f t="shared" si="17"/>
        <v>-48.723532105534588</v>
      </c>
      <c r="BD19" s="43">
        <f t="shared" si="18"/>
        <v>68.225032790841666</v>
      </c>
      <c r="BE19" s="43">
        <f t="shared" si="19"/>
        <v>-42.770416681906994</v>
      </c>
      <c r="BF19" s="43">
        <f t="shared" si="20"/>
        <v>62.880838113159427</v>
      </c>
      <c r="BG19" s="46">
        <v>90</v>
      </c>
      <c r="BH19" s="43">
        <f>BJ19*COS(RADIANS(90-$BA$8+BG19))</f>
        <v>-62.148498741833528</v>
      </c>
      <c r="BI19" s="43">
        <f>BJ19*SIN(RADIANS(90-$BA$8+BG19))</f>
        <v>-11.728772490602596</v>
      </c>
      <c r="BJ19" s="43">
        <f>(0.7*$C$5*SIN(ASIN(3/7*SIN(RADIANS(BG19)))+RADIANS(BG19)))/SIN(RADIANS(BG19))</f>
        <v>63.245553203367585</v>
      </c>
    </row>
    <row r="20" spans="2:62" x14ac:dyDescent="0.2">
      <c r="B20" s="57"/>
      <c r="L20" s="43">
        <f>$C$19*COS(RADIANS((L$10-6)*$K19))</f>
        <v>10.184021642328101</v>
      </c>
      <c r="M20" s="44">
        <f t="shared" ref="M20:R20" si="37">$C$19*COS(RADIANS((M$10-6)*$K19))</f>
        <v>20.967496865567149</v>
      </c>
      <c r="N20" s="43">
        <f t="shared" si="37"/>
        <v>30.669372320570091</v>
      </c>
      <c r="O20" s="43">
        <f t="shared" si="37"/>
        <v>38.789180721667776</v>
      </c>
      <c r="P20" s="43">
        <f t="shared" si="37"/>
        <v>44.90806506646944</v>
      </c>
      <c r="Q20" s="43">
        <f t="shared" si="37"/>
        <v>48.710385203380767</v>
      </c>
      <c r="R20" s="43">
        <f t="shared" si="37"/>
        <v>50.000000000000007</v>
      </c>
      <c r="S20" s="43">
        <f t="shared" si="35"/>
        <v>48.710385203380767</v>
      </c>
      <c r="T20" s="43">
        <f t="shared" si="26"/>
        <v>44.90806506646944</v>
      </c>
      <c r="U20" s="43">
        <f t="shared" si="27"/>
        <v>38.789180721667776</v>
      </c>
      <c r="V20" s="43">
        <f t="shared" si="28"/>
        <v>30.669372320570091</v>
      </c>
      <c r="W20" s="43">
        <f t="shared" si="29"/>
        <v>20.967496865567149</v>
      </c>
      <c r="X20" s="56">
        <f t="shared" si="30"/>
        <v>10.184021642328101</v>
      </c>
      <c r="Z20" s="45">
        <v>50</v>
      </c>
      <c r="AA20" s="43">
        <f t="shared" si="0"/>
        <v>64.278760968653941</v>
      </c>
      <c r="AB20" s="43">
        <f t="shared" si="1"/>
        <v>76.604444311897808</v>
      </c>
      <c r="AC20" s="43">
        <f t="shared" si="2"/>
        <v>25.711504387461574</v>
      </c>
      <c r="AD20" s="43">
        <f t="shared" si="3"/>
        <v>30.64177772475912</v>
      </c>
      <c r="AE20" s="43">
        <f t="shared" si="11"/>
        <v>40.653457966895509</v>
      </c>
      <c r="AF20" s="43">
        <f t="shared" si="12"/>
        <v>48.448904583425424</v>
      </c>
      <c r="AG20" s="43">
        <f t="shared" si="4"/>
        <v>73.920575113952012</v>
      </c>
      <c r="AH20" s="43">
        <f t="shared" si="5"/>
        <v>88.095110958682454</v>
      </c>
      <c r="AI20" s="46">
        <v>150</v>
      </c>
      <c r="AJ20" s="43">
        <f t="shared" si="6"/>
        <v>-86.602540378443877</v>
      </c>
      <c r="AK20" s="43">
        <f t="shared" si="7"/>
        <v>49.999999999999993</v>
      </c>
      <c r="AL20" s="43">
        <f t="shared" si="22"/>
        <v>253.00856793544386</v>
      </c>
      <c r="AM20" s="43">
        <f t="shared" si="8"/>
        <v>-109.98007360729144</v>
      </c>
      <c r="AN20" s="43">
        <f t="shared" si="9"/>
        <v>-33.606300143496213</v>
      </c>
      <c r="AO20" s="43">
        <f t="shared" si="13"/>
        <v>-117.15268710341918</v>
      </c>
      <c r="AP20" s="43">
        <f t="shared" si="14"/>
        <v>-35.798015370245977</v>
      </c>
      <c r="AU20" s="43">
        <v>11</v>
      </c>
      <c r="AV20" s="43">
        <v>335</v>
      </c>
      <c r="AW20" s="46">
        <v>11</v>
      </c>
      <c r="AX20" s="44">
        <v>-21.93</v>
      </c>
      <c r="AY20" s="43">
        <f t="shared" si="23"/>
        <v>290.52835443037969</v>
      </c>
      <c r="AZ20" s="45">
        <v>50</v>
      </c>
      <c r="BA20" s="43">
        <f t="shared" si="15"/>
        <v>-53.379436983449168</v>
      </c>
      <c r="BB20" s="43">
        <f t="shared" si="16"/>
        <v>80.603304126647714</v>
      </c>
      <c r="BC20" s="43">
        <f t="shared" si="17"/>
        <v>-45.182409835012365</v>
      </c>
      <c r="BD20" s="43">
        <f t="shared" si="18"/>
        <v>71.839244226818735</v>
      </c>
      <c r="BE20" s="43">
        <f t="shared" si="19"/>
        <v>-39.717725069387832</v>
      </c>
      <c r="BF20" s="43">
        <f t="shared" si="20"/>
        <v>65.996537626932763</v>
      </c>
      <c r="BG20" s="46">
        <v>90</v>
      </c>
      <c r="BH20" s="43">
        <f>BJ20*COS(RADIANS(90-$BA$8+BG20))</f>
        <v>-39.306161836860568</v>
      </c>
      <c r="BI20" s="43">
        <f>BJ20*SIN(RADIANS(90-$BA$8+BG20))</f>
        <v>-7.4179270456460076</v>
      </c>
      <c r="BJ20" s="43">
        <f>(0.5*$C$5*SIN(ASIN(3/5*SIN(RADIANS(BG19)))+RADIANS(BG19)))/SIN(RADIANS(BG19))</f>
        <v>40.000000000000007</v>
      </c>
    </row>
    <row r="21" spans="2:62" x14ac:dyDescent="0.2">
      <c r="B21" s="54">
        <v>150</v>
      </c>
      <c r="C21" s="43">
        <f>(($C$5+$C$6)/2)/SIN(RADIANS(B21))*SIN(RADIANS(180)-RADIANS(B21)-ASIN(($C$5-$C$6)/($C$5+$C$6)*SIN(RADIANS(B21))))</f>
        <v>42.393209542353539</v>
      </c>
      <c r="D21" s="55">
        <v>-20.149999999999999</v>
      </c>
      <c r="E21" s="43">
        <f>DEGREES(ACOS(-TAN(RADIANS($D$5))*TAN(RADIANS((D21))))/15)</f>
        <v>4.5604836825796111</v>
      </c>
      <c r="F21" s="43">
        <f>12-E21</f>
        <v>7.4395163174203889</v>
      </c>
      <c r="G21" s="43">
        <f>12+E21</f>
        <v>16.560483682579612</v>
      </c>
      <c r="H21" s="43">
        <f>G21-F21</f>
        <v>9.120967365159224</v>
      </c>
      <c r="I21" s="43">
        <f>H21/24</f>
        <v>0.38004030688163432</v>
      </c>
      <c r="J21" s="43">
        <f>I21*180</f>
        <v>68.407255238694177</v>
      </c>
      <c r="K21" s="43">
        <f>J21/6</f>
        <v>11.40120920644903</v>
      </c>
      <c r="L21" s="43">
        <f>$C$21*SIN(RADIANS((L$10-6)*$K21))</f>
        <v>-39.418185228926141</v>
      </c>
      <c r="M21" s="44">
        <f t="shared" ref="M21:R21" si="38">$C$21*SIN(RADIANS((M$10-6)*$K21))</f>
        <v>-35.556373350074423</v>
      </c>
      <c r="N21" s="43">
        <f t="shared" si="38"/>
        <v>-30.291293848068083</v>
      </c>
      <c r="O21" s="43">
        <f t="shared" si="38"/>
        <v>-23.830738319810393</v>
      </c>
      <c r="P21" s="43">
        <f t="shared" si="38"/>
        <v>-16.429679012080772</v>
      </c>
      <c r="Q21" s="43">
        <f t="shared" si="38"/>
        <v>-8.3802060883312333</v>
      </c>
      <c r="R21" s="43">
        <f t="shared" si="38"/>
        <v>0</v>
      </c>
      <c r="S21" s="43">
        <f>-Q21</f>
        <v>8.3802060883312333</v>
      </c>
      <c r="T21" s="43">
        <f>-P21</f>
        <v>16.429679012080772</v>
      </c>
      <c r="U21" s="43">
        <f>-O21</f>
        <v>23.830738319810393</v>
      </c>
      <c r="V21" s="43">
        <f>-N21</f>
        <v>30.291293848068083</v>
      </c>
      <c r="W21" s="43">
        <f>-M21</f>
        <v>35.556373350074423</v>
      </c>
      <c r="X21" s="56">
        <f>-L21</f>
        <v>39.418185228926141</v>
      </c>
      <c r="Z21" s="45">
        <v>55</v>
      </c>
      <c r="AA21" s="43">
        <f t="shared" si="0"/>
        <v>57.357643635104615</v>
      </c>
      <c r="AB21" s="43">
        <f t="shared" si="1"/>
        <v>81.915204428899173</v>
      </c>
      <c r="AC21" s="43">
        <f t="shared" si="2"/>
        <v>22.943057454041845</v>
      </c>
      <c r="AD21" s="43">
        <f t="shared" si="3"/>
        <v>32.766081771559669</v>
      </c>
      <c r="AE21" s="43">
        <f t="shared" si="11"/>
        <v>36.276159021438076</v>
      </c>
      <c r="AF21" s="43">
        <f t="shared" si="12"/>
        <v>51.80772419872676</v>
      </c>
      <c r="AG21" s="43">
        <f t="shared" si="4"/>
        <v>65.961290180370298</v>
      </c>
      <c r="AH21" s="43">
        <f t="shared" si="5"/>
        <v>94.202485093234046</v>
      </c>
      <c r="AI21" s="46">
        <v>165</v>
      </c>
      <c r="AJ21" s="43">
        <f t="shared" si="6"/>
        <v>-96.592582628906825</v>
      </c>
      <c r="AK21" s="43">
        <f t="shared" si="7"/>
        <v>25.881904510252102</v>
      </c>
      <c r="AL21" s="43">
        <f t="shared" si="22"/>
        <v>268.00856793544386</v>
      </c>
      <c r="AM21" s="43">
        <f t="shared" si="8"/>
        <v>-114.93054398702394</v>
      </c>
      <c r="AN21" s="43">
        <f t="shared" si="9"/>
        <v>-3.9962556032809355</v>
      </c>
      <c r="AO21" s="43">
        <f t="shared" si="13"/>
        <v>-122.42601424704726</v>
      </c>
      <c r="AP21" s="43">
        <f t="shared" si="14"/>
        <v>-4.2568809687123021</v>
      </c>
      <c r="AU21" s="43">
        <v>12</v>
      </c>
      <c r="AV21" s="43">
        <v>366</v>
      </c>
      <c r="AW21" s="46">
        <v>12</v>
      </c>
      <c r="AX21" s="44">
        <v>-21.78</v>
      </c>
      <c r="AY21" s="43">
        <f t="shared" si="23"/>
        <v>291.53518987341766</v>
      </c>
      <c r="AZ21" s="45">
        <v>55</v>
      </c>
      <c r="BA21" s="43">
        <f t="shared" si="15"/>
        <v>-48.741760157006141</v>
      </c>
      <c r="BB21" s="43">
        <f t="shared" si="16"/>
        <v>84.576201350886848</v>
      </c>
      <c r="BC21" s="43">
        <f t="shared" si="17"/>
        <v>-41.339763321673857</v>
      </c>
      <c r="BD21" s="43">
        <f t="shared" si="18"/>
        <v>75.131073355474015</v>
      </c>
      <c r="BE21" s="43">
        <f t="shared" si="19"/>
        <v>-36.40509876478567</v>
      </c>
      <c r="BF21" s="43">
        <f t="shared" si="20"/>
        <v>68.834321358532151</v>
      </c>
    </row>
    <row r="22" spans="2:62" x14ac:dyDescent="0.2">
      <c r="B22" s="57"/>
      <c r="L22" s="43">
        <f>$C$21*COS(RADIANS((L$10-6)*$K21))</f>
        <v>15.600989986534964</v>
      </c>
      <c r="M22" s="44">
        <f t="shared" ref="M22:R22" si="39">$C$21*COS(RADIANS((M$10-6)*$K21))</f>
        <v>23.085244843666107</v>
      </c>
      <c r="N22" s="43">
        <f t="shared" si="39"/>
        <v>29.658417562504706</v>
      </c>
      <c r="O22" s="43">
        <f t="shared" si="39"/>
        <v>35.061091346885021</v>
      </c>
      <c r="P22" s="43">
        <f t="shared" si="39"/>
        <v>39.080044304758509</v>
      </c>
      <c r="Q22" s="43">
        <f t="shared" si="39"/>
        <v>41.556664462141221</v>
      </c>
      <c r="R22" s="43">
        <f t="shared" si="39"/>
        <v>42.393209542353539</v>
      </c>
      <c r="S22" s="43">
        <f t="shared" si="35"/>
        <v>41.556664462141221</v>
      </c>
      <c r="T22" s="43">
        <f t="shared" si="26"/>
        <v>39.080044304758509</v>
      </c>
      <c r="U22" s="43">
        <f t="shared" si="27"/>
        <v>35.061091346885021</v>
      </c>
      <c r="V22" s="43">
        <f t="shared" si="28"/>
        <v>29.658417562504706</v>
      </c>
      <c r="W22" s="43">
        <f t="shared" si="29"/>
        <v>23.085244843666107</v>
      </c>
      <c r="X22" s="56">
        <f t="shared" si="30"/>
        <v>15.600989986534964</v>
      </c>
      <c r="Z22" s="45">
        <v>60</v>
      </c>
      <c r="AA22" s="43">
        <f t="shared" si="0"/>
        <v>50.000000000000014</v>
      </c>
      <c r="AB22" s="43">
        <f t="shared" si="1"/>
        <v>86.602540378443862</v>
      </c>
      <c r="AC22" s="43">
        <f t="shared" si="2"/>
        <v>20.000000000000004</v>
      </c>
      <c r="AD22" s="43">
        <f t="shared" si="3"/>
        <v>34.641016151377542</v>
      </c>
      <c r="AE22" s="43">
        <f t="shared" si="11"/>
        <v>31.622776601683803</v>
      </c>
      <c r="AF22" s="43">
        <f t="shared" si="12"/>
        <v>54.772255750516614</v>
      </c>
      <c r="AG22" s="43">
        <f t="shared" si="4"/>
        <v>57.500000000000007</v>
      </c>
      <c r="AH22" s="43">
        <f t="shared" si="5"/>
        <v>99.592921435210428</v>
      </c>
      <c r="AI22" s="46">
        <v>180</v>
      </c>
      <c r="AJ22" s="43">
        <f t="shared" si="6"/>
        <v>-100</v>
      </c>
      <c r="AK22" s="43">
        <f t="shared" si="7"/>
        <v>1.22514845490862E-14</v>
      </c>
      <c r="AL22" s="43">
        <f t="shared" si="22"/>
        <v>283.00856793544386</v>
      </c>
      <c r="AM22" s="43">
        <f t="shared" si="8"/>
        <v>-112.04868772574495</v>
      </c>
      <c r="AN22" s="43">
        <f t="shared" si="9"/>
        <v>25.886127152173401</v>
      </c>
      <c r="AO22" s="43">
        <f t="shared" si="13"/>
        <v>-119.35621083829356</v>
      </c>
      <c r="AP22" s="43">
        <f t="shared" si="14"/>
        <v>27.574352836010803</v>
      </c>
      <c r="AW22" s="46">
        <v>13</v>
      </c>
      <c r="AX22" s="44">
        <v>-21.62</v>
      </c>
      <c r="AY22" s="43">
        <f t="shared" si="23"/>
        <v>292.54202531645564</v>
      </c>
      <c r="AZ22" s="45">
        <v>60</v>
      </c>
      <c r="BA22" s="43">
        <f t="shared" si="15"/>
        <v>-43.775470282601965</v>
      </c>
      <c r="BB22" s="43">
        <f t="shared" si="16"/>
        <v>88.129780333305035</v>
      </c>
      <c r="BC22" s="43">
        <f t="shared" si="17"/>
        <v>-37.224837425738968</v>
      </c>
      <c r="BD22" s="43">
        <f t="shared" si="18"/>
        <v>78.075467369477664</v>
      </c>
      <c r="BE22" s="43">
        <f t="shared" si="19"/>
        <v>-32.857748854496975</v>
      </c>
      <c r="BF22" s="43">
        <f t="shared" si="20"/>
        <v>71.372592060259436</v>
      </c>
      <c r="BG22" s="46">
        <v>120</v>
      </c>
      <c r="BH22" s="43">
        <f>BJ22*COS(RADIANS(90-$BA$8+BG22))</f>
        <v>-37.913963941450838</v>
      </c>
      <c r="BI22" s="43">
        <f>BJ22*SIN(RADIANS(90-$BA$8+BG22))</f>
        <v>-32.596492729224224</v>
      </c>
      <c r="BJ22" s="43">
        <f>(0.7*$C$5*SIN(ASIN(3/7*SIN(RADIANS(BG22)))+RADIANS(BG22)))/SIN(RADIANS(BG22))</f>
        <v>50.000000000000021</v>
      </c>
    </row>
    <row r="23" spans="2:62" x14ac:dyDescent="0.2">
      <c r="B23" s="54">
        <v>180.0001</v>
      </c>
      <c r="C23" s="43">
        <f>(($C$5+$C$6)/2)/SIN(RADIANS(B23))*SIN(RADIANS(180)-RADIANS(B23)-ASIN(($C$5-$C$6)/($C$5+$C$6)*SIN(RADIANS(B23))))</f>
        <v>40.000000004939807</v>
      </c>
      <c r="D23" s="55">
        <v>-23.44</v>
      </c>
      <c r="E23" s="43">
        <f>DEGREES(ACOS(-TAN(RADIANS($D$5))*TAN(RADIANS((D23))))/15)</f>
        <v>4.2816981647865946</v>
      </c>
      <c r="F23" s="43">
        <f>12-E23</f>
        <v>7.7183018352134054</v>
      </c>
      <c r="G23" s="43">
        <f>12+E23</f>
        <v>16.281698164786594</v>
      </c>
      <c r="H23" s="43">
        <f>G23-F23</f>
        <v>8.5633963295731874</v>
      </c>
      <c r="I23" s="43">
        <f>H23/24</f>
        <v>0.35680818039888279</v>
      </c>
      <c r="J23" s="43">
        <f>I23*180</f>
        <v>64.225472471798909</v>
      </c>
      <c r="K23" s="43">
        <f>J23/6</f>
        <v>10.704245411966484</v>
      </c>
      <c r="L23" s="43">
        <f>$C$23*SIN(RADIANS((L$10-6)*$K23))</f>
        <v>-36.020487076919117</v>
      </c>
      <c r="M23" s="44">
        <f t="shared" ref="M23:R23" si="40">$C$23*SIN(RADIANS((M$10-6)*$K23))</f>
        <v>-32.163087069199811</v>
      </c>
      <c r="N23" s="43">
        <f t="shared" si="40"/>
        <v>-27.186349660618902</v>
      </c>
      <c r="O23" s="43">
        <f t="shared" si="40"/>
        <v>-21.263474902020587</v>
      </c>
      <c r="P23" s="43">
        <f t="shared" si="40"/>
        <v>-14.600590247018202</v>
      </c>
      <c r="Q23" s="43">
        <f t="shared" si="40"/>
        <v>-7.4295769194484045</v>
      </c>
      <c r="R23" s="43">
        <f t="shared" si="40"/>
        <v>0</v>
      </c>
      <c r="S23" s="43">
        <f>-Q23</f>
        <v>7.4295769194484045</v>
      </c>
      <c r="T23" s="43">
        <f>-P23</f>
        <v>14.600590247018202</v>
      </c>
      <c r="U23" s="43">
        <f>-O23</f>
        <v>21.263474902020587</v>
      </c>
      <c r="V23" s="43">
        <f>-N23</f>
        <v>27.186349660618902</v>
      </c>
      <c r="W23" s="43">
        <f>-M23</f>
        <v>32.163087069199811</v>
      </c>
      <c r="X23" s="56">
        <f>-L23</f>
        <v>36.020487076919117</v>
      </c>
      <c r="Z23" s="45">
        <v>65</v>
      </c>
      <c r="AA23" s="43">
        <f t="shared" si="0"/>
        <v>42.261826174069945</v>
      </c>
      <c r="AB23" s="43">
        <f t="shared" si="1"/>
        <v>90.630778703664987</v>
      </c>
      <c r="AC23" s="43">
        <f t="shared" si="2"/>
        <v>16.904730469627978</v>
      </c>
      <c r="AD23" s="43">
        <f t="shared" si="3"/>
        <v>36.252311481465995</v>
      </c>
      <c r="AE23" s="43">
        <f t="shared" si="11"/>
        <v>26.728725757636138</v>
      </c>
      <c r="AF23" s="43">
        <f t="shared" si="12"/>
        <v>57.319937363652791</v>
      </c>
      <c r="AG23" s="43">
        <f t="shared" si="4"/>
        <v>48.601100100180432</v>
      </c>
      <c r="AH23" s="43">
        <f t="shared" si="5"/>
        <v>104.22539550921474</v>
      </c>
      <c r="AI23" s="46">
        <v>195</v>
      </c>
      <c r="AJ23" s="43">
        <f t="shared" si="6"/>
        <v>-96.592582628906825</v>
      </c>
      <c r="AK23" s="43">
        <f t="shared" si="7"/>
        <v>-25.881904510252081</v>
      </c>
      <c r="AL23" s="43">
        <f t="shared" si="22"/>
        <v>298.00856793544386</v>
      </c>
      <c r="AM23" s="43">
        <f t="shared" si="8"/>
        <v>-101.53089856516803</v>
      </c>
      <c r="AN23" s="43">
        <f t="shared" si="9"/>
        <v>54.004413121054796</v>
      </c>
      <c r="AO23" s="43">
        <f t="shared" si="13"/>
        <v>-108.15247890637467</v>
      </c>
      <c r="AP23" s="43">
        <f t="shared" si="14"/>
        <v>57.526440063732295</v>
      </c>
      <c r="AW23" s="46">
        <v>14</v>
      </c>
      <c r="AX23" s="44">
        <v>-21.45</v>
      </c>
      <c r="AY23" s="43">
        <f t="shared" si="23"/>
        <v>293.54886075949361</v>
      </c>
      <c r="AZ23" s="45">
        <v>65</v>
      </c>
      <c r="BA23" s="43">
        <f t="shared" si="15"/>
        <v>-38.518363824908661</v>
      </c>
      <c r="BB23" s="43">
        <f t="shared" si="16"/>
        <v>91.236996192136445</v>
      </c>
      <c r="BC23" s="43">
        <f t="shared" si="17"/>
        <v>-32.868949217935949</v>
      </c>
      <c r="BD23" s="43">
        <f t="shared" si="18"/>
        <v>80.650017652509405</v>
      </c>
      <c r="BE23" s="43">
        <f t="shared" si="19"/>
        <v>-29.102672813287473</v>
      </c>
      <c r="BF23" s="43">
        <f t="shared" si="20"/>
        <v>73.592031959424716</v>
      </c>
      <c r="BG23" s="46">
        <v>120</v>
      </c>
      <c r="BH23" s="43">
        <f>BJ23*COS(RADIANS(90-$BA$8+BG23))</f>
        <v>-21.019515809123728</v>
      </c>
      <c r="BI23" s="43">
        <f>BJ23*SIN(RADIANS(90-$BA$8+BG23))</f>
        <v>-18.071507777503477</v>
      </c>
      <c r="BJ23" s="43">
        <f>(0.5*$C$5*SIN(ASIN(3/5*SIN(RADIANS(BG22)))+RADIANS(BG22)))/SIN(RADIANS(BG22))</f>
        <v>27.720018726587668</v>
      </c>
    </row>
    <row r="24" spans="2:62" x14ac:dyDescent="0.2">
      <c r="B24" s="58"/>
      <c r="C24" s="59"/>
      <c r="D24" s="59"/>
      <c r="E24" s="59"/>
      <c r="F24" s="59"/>
      <c r="G24" s="59"/>
      <c r="H24" s="59"/>
      <c r="I24" s="59"/>
      <c r="J24" s="59"/>
      <c r="K24" s="59"/>
      <c r="L24" s="59">
        <f>$C$23*COS(RADIANS((L$10-6)*$K23))</f>
        <v>17.393231762288668</v>
      </c>
      <c r="M24" s="60">
        <f t="shared" ref="M24:R24" si="41">$C$23*COS(RADIANS((M$10-6)*$K23))</f>
        <v>23.780997257774047</v>
      </c>
      <c r="N24" s="59">
        <f t="shared" si="41"/>
        <v>29.341138228189973</v>
      </c>
      <c r="O24" s="59">
        <f t="shared" si="41"/>
        <v>33.880151054656253</v>
      </c>
      <c r="P24" s="59">
        <f t="shared" si="41"/>
        <v>37.240069345180622</v>
      </c>
      <c r="Q24" s="59">
        <f t="shared" si="41"/>
        <v>39.303961469464937</v>
      </c>
      <c r="R24" s="59">
        <f t="shared" si="41"/>
        <v>40.000000004939807</v>
      </c>
      <c r="S24" s="59">
        <f t="shared" si="35"/>
        <v>39.303961469464937</v>
      </c>
      <c r="T24" s="59">
        <f t="shared" si="26"/>
        <v>37.240069345180622</v>
      </c>
      <c r="U24" s="59">
        <f t="shared" si="27"/>
        <v>33.880151054656253</v>
      </c>
      <c r="V24" s="59">
        <f t="shared" si="28"/>
        <v>29.341138228189973</v>
      </c>
      <c r="W24" s="59">
        <f t="shared" si="29"/>
        <v>23.780997257774047</v>
      </c>
      <c r="X24" s="61">
        <f t="shared" si="30"/>
        <v>17.393231762288668</v>
      </c>
      <c r="Z24" s="45">
        <v>70</v>
      </c>
      <c r="AA24" s="43">
        <f t="shared" si="0"/>
        <v>34.202014332566883</v>
      </c>
      <c r="AB24" s="43">
        <f t="shared" si="1"/>
        <v>93.96926207859083</v>
      </c>
      <c r="AC24" s="43">
        <f t="shared" si="2"/>
        <v>13.680805733026753</v>
      </c>
      <c r="AD24" s="43">
        <f t="shared" si="3"/>
        <v>37.587704831436334</v>
      </c>
      <c r="AE24" s="43">
        <f t="shared" si="11"/>
        <v>21.631253171326996</v>
      </c>
      <c r="AF24" s="43">
        <f t="shared" si="12"/>
        <v>59.431379642727094</v>
      </c>
      <c r="AG24" s="43">
        <f t="shared" si="4"/>
        <v>39.332316482451908</v>
      </c>
      <c r="AH24" s="43">
        <f t="shared" si="5"/>
        <v>108.06465139037944</v>
      </c>
      <c r="AI24" s="46">
        <v>210</v>
      </c>
      <c r="AJ24" s="43">
        <f t="shared" si="6"/>
        <v>-86.602540378443862</v>
      </c>
      <c r="AK24" s="43">
        <f t="shared" si="7"/>
        <v>-50.000000000000014</v>
      </c>
      <c r="AL24" s="43">
        <f t="shared" si="22"/>
        <v>313.00856793544386</v>
      </c>
      <c r="AM24" s="43">
        <f t="shared" si="8"/>
        <v>-84.093946455118086</v>
      </c>
      <c r="AN24" s="43">
        <f t="shared" si="9"/>
        <v>78.442387582248713</v>
      </c>
      <c r="AO24" s="43">
        <f t="shared" si="13"/>
        <v>-89.578334267408422</v>
      </c>
      <c r="AP24" s="43">
        <f t="shared" si="14"/>
        <v>83.558195468047558</v>
      </c>
      <c r="AW24" s="46">
        <v>15</v>
      </c>
      <c r="AX24" s="44">
        <v>-21.27</v>
      </c>
      <c r="AY24" s="43">
        <f t="shared" si="23"/>
        <v>294.55569620253158</v>
      </c>
      <c r="AZ24" s="45">
        <v>70</v>
      </c>
      <c r="BA24" s="43">
        <f t="shared" si="15"/>
        <v>-33.010450538396981</v>
      </c>
      <c r="BB24" s="43">
        <f t="shared" si="16"/>
        <v>93.874201138507104</v>
      </c>
      <c r="BC24" s="43">
        <f t="shared" si="17"/>
        <v>-28.305249637683414</v>
      </c>
      <c r="BD24" s="43">
        <f t="shared" si="18"/>
        <v>82.835130322359376</v>
      </c>
      <c r="BE24" s="43">
        <f t="shared" si="19"/>
        <v>-25.168449037207704</v>
      </c>
      <c r="BF24" s="43">
        <f t="shared" si="20"/>
        <v>75.475749778260905</v>
      </c>
    </row>
    <row r="25" spans="2:62" x14ac:dyDescent="0.2">
      <c r="Z25" s="45">
        <v>75</v>
      </c>
      <c r="AA25" s="43">
        <f t="shared" si="0"/>
        <v>25.881904510252074</v>
      </c>
      <c r="AB25" s="43">
        <f t="shared" si="1"/>
        <v>96.592582628906825</v>
      </c>
      <c r="AC25" s="43">
        <f t="shared" si="2"/>
        <v>10.35276180410083</v>
      </c>
      <c r="AD25" s="43">
        <f t="shared" si="3"/>
        <v>38.637033051562732</v>
      </c>
      <c r="AE25" s="43">
        <f t="shared" si="11"/>
        <v>16.36915368707627</v>
      </c>
      <c r="AF25" s="43">
        <f t="shared" si="12"/>
        <v>61.090513237072074</v>
      </c>
      <c r="AG25" s="43">
        <f t="shared" si="4"/>
        <v>29.764190186789882</v>
      </c>
      <c r="AH25" s="43">
        <f t="shared" si="5"/>
        <v>111.08147002324284</v>
      </c>
      <c r="AI25" s="46">
        <v>225</v>
      </c>
      <c r="AJ25" s="43">
        <f t="shared" si="6"/>
        <v>-70.710678118654769</v>
      </c>
      <c r="AK25" s="43">
        <f t="shared" si="7"/>
        <v>-70.710678118654741</v>
      </c>
      <c r="AL25" s="43">
        <f t="shared" si="22"/>
        <v>328.00856793544386</v>
      </c>
      <c r="AM25" s="43">
        <f t="shared" si="8"/>
        <v>-60.926130865969107</v>
      </c>
      <c r="AN25" s="43">
        <f t="shared" si="9"/>
        <v>97.534642961887144</v>
      </c>
      <c r="AO25" s="43">
        <f t="shared" si="13"/>
        <v>-64.899574183314925</v>
      </c>
      <c r="AP25" s="43">
        <f t="shared" si="14"/>
        <v>103.89559793766242</v>
      </c>
      <c r="AW25" s="46">
        <v>16</v>
      </c>
      <c r="AX25" s="44">
        <v>-21.1</v>
      </c>
      <c r="AY25" s="43">
        <f t="shared" si="23"/>
        <v>295.56253164556955</v>
      </c>
      <c r="AZ25" s="45">
        <v>75</v>
      </c>
      <c r="BA25" s="43">
        <f t="shared" si="15"/>
        <v>-27.29364896894624</v>
      </c>
      <c r="BB25" s="43">
        <f t="shared" si="16"/>
        <v>96.021324450387255</v>
      </c>
      <c r="BC25" s="43">
        <f t="shared" si="17"/>
        <v>-23.568471194424227</v>
      </c>
      <c r="BD25" s="43">
        <f t="shared" si="18"/>
        <v>84.614175352202935</v>
      </c>
      <c r="BE25" s="43">
        <f t="shared" si="19"/>
        <v>-21.085019344742889</v>
      </c>
      <c r="BF25" s="43">
        <f t="shared" si="20"/>
        <v>77.009409286746731</v>
      </c>
      <c r="BG25" s="46">
        <v>150</v>
      </c>
      <c r="BH25" s="43">
        <f>BJ25*COS(RADIANS(90-$BA$8+BG25))</f>
        <v>-14.020459944076141</v>
      </c>
      <c r="BI25" s="43">
        <f>BJ25*SIN(RADIANS(90-$BA$8+BG25))</f>
        <v>-40.007635749422285</v>
      </c>
      <c r="BJ25" s="43">
        <f>(0.7*$C$5*SIN(ASIN(3/7*SIN(RADIANS(BG25)))+RADIANS(BG25)))/SIN(RADIANS(BG25))</f>
        <v>42.393209542353546</v>
      </c>
    </row>
    <row r="26" spans="2:62" x14ac:dyDescent="0.2">
      <c r="L26" s="43">
        <f>L11</f>
        <v>-90.051217679591176</v>
      </c>
      <c r="M26" s="44">
        <f>L13</f>
        <v>-87.733210415059389</v>
      </c>
      <c r="N26" s="43">
        <f>L15</f>
        <v>-78.322994070469477</v>
      </c>
      <c r="O26" s="43">
        <f>L17</f>
        <v>-63.245553203367592</v>
      </c>
      <c r="P26" s="43">
        <f>L19</f>
        <v>-48.951871294043436</v>
      </c>
      <c r="Q26" s="43">
        <f>L21</f>
        <v>-39.418185228926141</v>
      </c>
      <c r="R26" s="43">
        <f>L23</f>
        <v>-36.020487076919117</v>
      </c>
      <c r="T26" s="43">
        <f>(M26+M29)/2</f>
        <v>-90.979577432616722</v>
      </c>
      <c r="Z26" s="45">
        <v>80</v>
      </c>
      <c r="AA26" s="43">
        <f t="shared" si="0"/>
        <v>17.36481776669304</v>
      </c>
      <c r="AB26" s="43">
        <f t="shared" si="1"/>
        <v>98.480775301220802</v>
      </c>
      <c r="AC26" s="43">
        <f t="shared" si="2"/>
        <v>6.9459271066772166</v>
      </c>
      <c r="AD26" s="43">
        <f t="shared" si="3"/>
        <v>39.392310120488318</v>
      </c>
      <c r="AE26" s="43">
        <f t="shared" si="11"/>
        <v>10.982475059301676</v>
      </c>
      <c r="AF26" s="43">
        <f t="shared" si="12"/>
        <v>62.284711138222491</v>
      </c>
      <c r="AG26" s="43">
        <f t="shared" si="4"/>
        <v>19.969540431696995</v>
      </c>
      <c r="AH26" s="43">
        <f t="shared" si="5"/>
        <v>113.25289159640391</v>
      </c>
      <c r="AI26" s="46">
        <v>240</v>
      </c>
      <c r="AJ26" s="43">
        <f t="shared" si="6"/>
        <v>-50.000000000000043</v>
      </c>
      <c r="AK26" s="43">
        <f t="shared" si="7"/>
        <v>-86.602540378443834</v>
      </c>
      <c r="AL26" s="43">
        <f t="shared" si="22"/>
        <v>343.00856793544386</v>
      </c>
      <c r="AM26" s="43">
        <f t="shared" si="8"/>
        <v>-33.60630014349622</v>
      </c>
      <c r="AN26" s="43">
        <f t="shared" si="9"/>
        <v>109.98007360729143</v>
      </c>
      <c r="AO26" s="43">
        <f t="shared" si="13"/>
        <v>-35.798015370245984</v>
      </c>
      <c r="AP26" s="43">
        <f t="shared" si="14"/>
        <v>117.15268710341917</v>
      </c>
      <c r="AW26" s="46">
        <v>17</v>
      </c>
      <c r="AX26" s="44">
        <v>-20.9</v>
      </c>
      <c r="AY26" s="43">
        <f t="shared" si="23"/>
        <v>296.56936708860752</v>
      </c>
      <c r="AZ26" s="45">
        <v>80</v>
      </c>
      <c r="BA26" s="43">
        <f t="shared" si="15"/>
        <v>-21.411467428399096</v>
      </c>
      <c r="BB26" s="43">
        <f t="shared" si="16"/>
        <v>97.662025222905001</v>
      </c>
      <c r="BC26" s="43">
        <f t="shared" si="17"/>
        <v>-18.694663632256592</v>
      </c>
      <c r="BD26" s="43">
        <f t="shared" si="18"/>
        <v>85.973613135146209</v>
      </c>
      <c r="BE26" s="43">
        <f t="shared" si="19"/>
        <v>-16.883461101494927</v>
      </c>
      <c r="BF26" s="43">
        <f t="shared" si="20"/>
        <v>78.181338409973691</v>
      </c>
      <c r="BG26" s="46">
        <v>150</v>
      </c>
      <c r="BH26" s="43">
        <f>BJ26*COS(RADIANS(90-$BA$8+BG26))</f>
        <v>-7.182072008347574</v>
      </c>
      <c r="BI26" s="43">
        <f>BJ26*SIN(RADIANS(90-$BA$8+BG26))</f>
        <v>-20.494172229884377</v>
      </c>
      <c r="BJ26" s="43">
        <f>(0.5*$C$5*SIN(ASIN(3/5*SIN(RADIANS(BG25)))+RADIANS(BG25)))/SIN(RADIANS(BG25))</f>
        <v>21.716197957314115</v>
      </c>
    </row>
    <row r="27" spans="2:62" x14ac:dyDescent="0.2">
      <c r="C27" s="62"/>
      <c r="L27" s="43">
        <f>L12</f>
        <v>-43.483079399586003</v>
      </c>
      <c r="M27" s="44">
        <f>L14</f>
        <v>-34.723184977260146</v>
      </c>
      <c r="N27" s="43">
        <f>L16</f>
        <v>-16.294434627725018</v>
      </c>
      <c r="O27" s="43">
        <f>L18</f>
        <v>3.8742595893473368E-15</v>
      </c>
      <c r="P27" s="43">
        <f>L20</f>
        <v>10.184021642328101</v>
      </c>
      <c r="Q27" s="43">
        <f>L22</f>
        <v>15.600989986534964</v>
      </c>
      <c r="R27" s="43">
        <f>L24</f>
        <v>17.393231762288668</v>
      </c>
      <c r="T27" s="43">
        <f>(M27+M30)/2</f>
        <v>-19.825693601146689</v>
      </c>
      <c r="Z27" s="45">
        <v>85</v>
      </c>
      <c r="AA27" s="43">
        <f t="shared" si="0"/>
        <v>8.7155742747658138</v>
      </c>
      <c r="AB27" s="43">
        <f t="shared" si="1"/>
        <v>99.619469809174561</v>
      </c>
      <c r="AC27" s="43">
        <f t="shared" si="2"/>
        <v>3.4862297099063255</v>
      </c>
      <c r="AD27" s="43">
        <f t="shared" si="3"/>
        <v>39.84778792366982</v>
      </c>
      <c r="AE27" s="43">
        <f t="shared" si="11"/>
        <v>5.512213164926032</v>
      </c>
      <c r="AF27" s="43">
        <f t="shared" si="12"/>
        <v>63.00488477907421</v>
      </c>
      <c r="AG27" s="43">
        <f t="shared" si="4"/>
        <v>10.022910415980684</v>
      </c>
      <c r="AH27" s="43">
        <f t="shared" si="5"/>
        <v>114.56239028055073</v>
      </c>
      <c r="AI27" s="46">
        <v>255</v>
      </c>
      <c r="AJ27" s="43">
        <f t="shared" si="6"/>
        <v>-25.881904510252063</v>
      </c>
      <c r="AK27" s="43">
        <f t="shared" si="7"/>
        <v>-96.592582628906825</v>
      </c>
      <c r="AL27" s="43">
        <f t="shared" si="22"/>
        <v>358.00856793544386</v>
      </c>
      <c r="AM27" s="43">
        <f t="shared" si="8"/>
        <v>-3.9962556032809426</v>
      </c>
      <c r="AN27" s="43">
        <f t="shared" si="9"/>
        <v>114.93054398702394</v>
      </c>
      <c r="AO27" s="43">
        <f t="shared" si="13"/>
        <v>-4.2568809687123093</v>
      </c>
      <c r="AP27" s="43">
        <f t="shared" si="14"/>
        <v>122.42601424704726</v>
      </c>
      <c r="AW27" s="46">
        <v>18</v>
      </c>
      <c r="AX27" s="44">
        <v>-20.7</v>
      </c>
      <c r="AY27" s="43">
        <f t="shared" si="23"/>
        <v>297.57620253164549</v>
      </c>
      <c r="AZ27" s="45">
        <v>85</v>
      </c>
      <c r="BA27" s="43">
        <f t="shared" si="15"/>
        <v>-15.408672870037472</v>
      </c>
      <c r="BB27" s="43">
        <f t="shared" si="16"/>
        <v>98.783816732499261</v>
      </c>
      <c r="BC27" s="43">
        <f t="shared" si="17"/>
        <v>-13.720919569614106</v>
      </c>
      <c r="BD27" s="43">
        <f t="shared" si="18"/>
        <v>86.903097528810022</v>
      </c>
      <c r="BE27" s="43">
        <f t="shared" si="19"/>
        <v>-12.595750702665196</v>
      </c>
      <c r="BF27" s="43">
        <f t="shared" si="20"/>
        <v>78.982618059683873</v>
      </c>
    </row>
    <row r="28" spans="2:62" x14ac:dyDescent="0.2">
      <c r="B28" s="49" t="s">
        <v>47</v>
      </c>
      <c r="C28" s="53"/>
      <c r="Z28" s="45">
        <v>90</v>
      </c>
      <c r="AA28" s="43">
        <f t="shared" si="0"/>
        <v>6.1257422745431001E-15</v>
      </c>
      <c r="AB28" s="43">
        <f t="shared" si="1"/>
        <v>100</v>
      </c>
      <c r="AC28" s="43">
        <f t="shared" si="2"/>
        <v>2.45029690981724E-15</v>
      </c>
      <c r="AD28" s="43">
        <f t="shared" si="3"/>
        <v>40</v>
      </c>
      <c r="AE28" s="43">
        <f t="shared" si="11"/>
        <v>3.8742595893473368E-15</v>
      </c>
      <c r="AF28" s="43">
        <f t="shared" si="12"/>
        <v>63.245553203367592</v>
      </c>
      <c r="AG28" s="43">
        <f t="shared" si="4"/>
        <v>7.0446036157245643E-15</v>
      </c>
      <c r="AH28" s="43">
        <f t="shared" si="5"/>
        <v>114.99999999999999</v>
      </c>
      <c r="AI28" s="46">
        <v>270</v>
      </c>
      <c r="AJ28" s="43">
        <f t="shared" si="6"/>
        <v>-1.83772268236293E-14</v>
      </c>
      <c r="AK28" s="43">
        <f t="shared" si="7"/>
        <v>-100</v>
      </c>
      <c r="AL28" s="43">
        <f t="shared" si="22"/>
        <v>373.00856793544386</v>
      </c>
      <c r="AM28" s="43">
        <f t="shared" si="8"/>
        <v>25.886127152173394</v>
      </c>
      <c r="AN28" s="43">
        <f t="shared" si="9"/>
        <v>112.04868772574495</v>
      </c>
      <c r="AO28" s="43">
        <f t="shared" si="13"/>
        <v>27.574352836010796</v>
      </c>
      <c r="AP28" s="43">
        <f t="shared" si="14"/>
        <v>119.35621083829356</v>
      </c>
      <c r="AW28" s="46">
        <v>19</v>
      </c>
      <c r="AX28" s="44">
        <v>-20.5</v>
      </c>
      <c r="AY28" s="43">
        <f t="shared" si="23"/>
        <v>298.58303797468346</v>
      </c>
      <c r="AZ28" s="45">
        <v>90</v>
      </c>
      <c r="BA28" s="43">
        <f t="shared" si="15"/>
        <v>-9.3309501850369365</v>
      </c>
      <c r="BB28" s="43">
        <f t="shared" si="16"/>
        <v>99.378161468425787</v>
      </c>
      <c r="BC28" s="43">
        <f t="shared" si="17"/>
        <v>-8.6850922020422328</v>
      </c>
      <c r="BD28" s="43">
        <f t="shared" si="18"/>
        <v>87.395554595720569</v>
      </c>
      <c r="BE28" s="43">
        <f t="shared" si="19"/>
        <v>-8.2545202133790987</v>
      </c>
      <c r="BF28" s="43">
        <f t="shared" si="20"/>
        <v>79.407150013917104</v>
      </c>
      <c r="BG28" s="46">
        <v>180</v>
      </c>
      <c r="BH28" s="43">
        <f>-0.4*$C$5*COS(RADIANS(90-$BA$8))</f>
        <v>7.4179270456460085</v>
      </c>
      <c r="BI28" s="43">
        <f>-0.4*$C$5*SIN(RADIANS(90-$BA$8))</f>
        <v>-39.306161836860561</v>
      </c>
    </row>
    <row r="29" spans="2:62" x14ac:dyDescent="0.2">
      <c r="B29" s="57" t="s">
        <v>36</v>
      </c>
      <c r="C29" s="63">
        <f>Clock!N6</f>
        <v>45</v>
      </c>
      <c r="L29" s="43">
        <f>M11</f>
        <v>-99.361372723341788</v>
      </c>
      <c r="M29" s="44">
        <f>M13</f>
        <v>-94.225944450174055</v>
      </c>
      <c r="N29" s="43">
        <f>M15</f>
        <v>-79.669935551834541</v>
      </c>
      <c r="O29" s="43">
        <f>M17</f>
        <v>-61.090513237072074</v>
      </c>
      <c r="P29" s="43">
        <f>M19</f>
        <v>-45.391233461896938</v>
      </c>
      <c r="Q29" s="43">
        <f>M21</f>
        <v>-35.556373350074423</v>
      </c>
      <c r="R29" s="43">
        <f>M23</f>
        <v>-32.163087069199811</v>
      </c>
      <c r="T29" s="43">
        <f>(M29+M32)/2</f>
        <v>-92.551374834639049</v>
      </c>
      <c r="Z29" s="45">
        <v>95</v>
      </c>
      <c r="AA29" s="43">
        <f t="shared" si="0"/>
        <v>-8.7155742747658227</v>
      </c>
      <c r="AB29" s="43">
        <f t="shared" si="1"/>
        <v>99.619469809174561</v>
      </c>
      <c r="AC29" s="43">
        <f t="shared" si="2"/>
        <v>-3.4862297099063295</v>
      </c>
      <c r="AD29" s="43">
        <f t="shared" si="3"/>
        <v>39.84778792366982</v>
      </c>
      <c r="AE29" s="43">
        <f t="shared" si="11"/>
        <v>-5.5122131649260382</v>
      </c>
      <c r="AF29" s="43">
        <f t="shared" si="12"/>
        <v>63.00488477907421</v>
      </c>
      <c r="AG29" s="43">
        <f t="shared" si="4"/>
        <v>-10.022910415980697</v>
      </c>
      <c r="AH29" s="43">
        <f t="shared" si="5"/>
        <v>114.56239028055073</v>
      </c>
      <c r="AI29" s="46">
        <v>285</v>
      </c>
      <c r="AJ29" s="43">
        <f t="shared" si="6"/>
        <v>25.881904510252028</v>
      </c>
      <c r="AK29" s="43">
        <f t="shared" si="7"/>
        <v>-96.59258262890684</v>
      </c>
      <c r="AL29" s="43">
        <f t="shared" si="22"/>
        <v>388.00856793544386</v>
      </c>
      <c r="AM29" s="43">
        <f t="shared" si="8"/>
        <v>54.004413121054789</v>
      </c>
      <c r="AN29" s="43">
        <f t="shared" si="9"/>
        <v>101.53089856516804</v>
      </c>
      <c r="AO29" s="43">
        <f t="shared" si="13"/>
        <v>57.526440063732288</v>
      </c>
      <c r="AP29" s="43">
        <f t="shared" si="14"/>
        <v>108.15247890637468</v>
      </c>
      <c r="AW29" s="46">
        <v>20</v>
      </c>
      <c r="AX29" s="44">
        <v>-20.3</v>
      </c>
      <c r="AY29" s="43">
        <f t="shared" si="23"/>
        <v>299.58987341772144</v>
      </c>
      <c r="AZ29" s="45">
        <v>95</v>
      </c>
      <c r="BA29" s="43">
        <f t="shared" si="15"/>
        <v>-3.2245545128596209</v>
      </c>
      <c r="BB29" s="43">
        <f t="shared" si="16"/>
        <v>99.440536108369002</v>
      </c>
      <c r="BC29" s="43">
        <f t="shared" si="17"/>
        <v>-3.6255072165238866</v>
      </c>
      <c r="BD29" s="43">
        <f t="shared" si="18"/>
        <v>87.447236440244964</v>
      </c>
      <c r="BE29" s="43">
        <f t="shared" si="19"/>
        <v>-3.8928090189667302</v>
      </c>
      <c r="BF29" s="43">
        <f t="shared" si="20"/>
        <v>79.451703328162267</v>
      </c>
      <c r="BG29" s="46">
        <v>180</v>
      </c>
      <c r="BH29" s="43">
        <f>-0.2*$C$5*COS(RADIANS(90-$BA$8))</f>
        <v>3.7089635228230042</v>
      </c>
      <c r="BI29" s="43">
        <f>-0.2*$C$5*SIN(RADIANS(90-$BA$8))</f>
        <v>-19.65308091843028</v>
      </c>
    </row>
    <row r="30" spans="2:62" x14ac:dyDescent="0.2">
      <c r="B30" s="57" t="s">
        <v>37</v>
      </c>
      <c r="C30" s="63">
        <f>Clock!N7</f>
        <v>5</v>
      </c>
      <c r="L30" s="43">
        <f>M12</f>
        <v>-11.283510543309047</v>
      </c>
      <c r="M30" s="44">
        <f>M14</f>
        <v>-4.92820222503323</v>
      </c>
      <c r="N30" s="43">
        <f>M16</f>
        <v>7.2595708665547063</v>
      </c>
      <c r="O30" s="43">
        <f>M18</f>
        <v>16.36915368707627</v>
      </c>
      <c r="P30" s="43">
        <f>M20</f>
        <v>20.967496865567149</v>
      </c>
      <c r="Q30" s="43">
        <f>M22</f>
        <v>23.085244843666107</v>
      </c>
      <c r="R30" s="43">
        <f>M24</f>
        <v>23.780997257774047</v>
      </c>
      <c r="T30" s="43">
        <f>(M30+M33)/2</f>
        <v>10.226663815839107</v>
      </c>
      <c r="Z30" s="45">
        <v>100</v>
      </c>
      <c r="AA30" s="43">
        <f t="shared" si="0"/>
        <v>-17.364817766693029</v>
      </c>
      <c r="AB30" s="43">
        <f t="shared" si="1"/>
        <v>98.480775301220802</v>
      </c>
      <c r="AC30" s="43">
        <f t="shared" si="2"/>
        <v>-6.9459271066772121</v>
      </c>
      <c r="AD30" s="43">
        <f t="shared" si="3"/>
        <v>39.392310120488318</v>
      </c>
      <c r="AE30" s="43">
        <f t="shared" si="11"/>
        <v>-10.982475059301668</v>
      </c>
      <c r="AF30" s="43">
        <f t="shared" si="12"/>
        <v>62.284711138222491</v>
      </c>
      <c r="AG30" s="43">
        <f t="shared" si="4"/>
        <v>-19.969540431696981</v>
      </c>
      <c r="AH30" s="43">
        <f t="shared" si="5"/>
        <v>113.25289159640391</v>
      </c>
      <c r="AI30" s="46">
        <v>300</v>
      </c>
      <c r="AJ30" s="43">
        <f t="shared" si="6"/>
        <v>50.000000000000014</v>
      </c>
      <c r="AK30" s="43">
        <f t="shared" si="7"/>
        <v>-86.602540378443862</v>
      </c>
      <c r="AL30" s="43">
        <f t="shared" si="22"/>
        <v>403.00856793544386</v>
      </c>
      <c r="AM30" s="43">
        <f t="shared" si="8"/>
        <v>78.442387582248713</v>
      </c>
      <c r="AN30" s="43">
        <f t="shared" si="9"/>
        <v>84.0939464551181</v>
      </c>
      <c r="AO30" s="43">
        <f t="shared" si="13"/>
        <v>83.558195468047558</v>
      </c>
      <c r="AP30" s="43">
        <f t="shared" si="14"/>
        <v>89.578334267408437</v>
      </c>
      <c r="AW30" s="46">
        <v>21</v>
      </c>
      <c r="AX30" s="44">
        <v>-20.079999999999998</v>
      </c>
      <c r="AY30" s="43">
        <f t="shared" si="23"/>
        <v>300.59670886075941</v>
      </c>
      <c r="AZ30" s="45">
        <v>100</v>
      </c>
      <c r="BA30" s="43">
        <f t="shared" si="15"/>
        <v>2.8640407882866548</v>
      </c>
      <c r="BB30" s="43">
        <f t="shared" si="16"/>
        <v>98.970465943656137</v>
      </c>
      <c r="BC30" s="43">
        <f t="shared" si="17"/>
        <v>1.4193288901401697</v>
      </c>
      <c r="BD30" s="43">
        <f t="shared" si="18"/>
        <v>87.057749732340014</v>
      </c>
      <c r="BE30" s="43">
        <f t="shared" si="19"/>
        <v>0.45618762470918117</v>
      </c>
      <c r="BF30" s="43">
        <f t="shared" si="20"/>
        <v>79.115938924795941</v>
      </c>
    </row>
    <row r="31" spans="2:62" x14ac:dyDescent="0.2">
      <c r="B31" s="57"/>
      <c r="C31" s="64"/>
      <c r="Z31" s="45">
        <v>105</v>
      </c>
      <c r="AA31" s="43">
        <f t="shared" si="0"/>
        <v>-25.881904510252085</v>
      </c>
      <c r="AB31" s="43">
        <f t="shared" si="1"/>
        <v>96.592582628906825</v>
      </c>
      <c r="AC31" s="43">
        <f t="shared" si="2"/>
        <v>-10.352761804100833</v>
      </c>
      <c r="AD31" s="43">
        <f t="shared" si="3"/>
        <v>38.637033051562732</v>
      </c>
      <c r="AE31" s="43">
        <f t="shared" si="11"/>
        <v>-16.369153687076277</v>
      </c>
      <c r="AF31" s="43">
        <f t="shared" si="12"/>
        <v>61.090513237072074</v>
      </c>
      <c r="AG31" s="43">
        <f t="shared" si="4"/>
        <v>-29.764190186789893</v>
      </c>
      <c r="AH31" s="43">
        <f t="shared" si="5"/>
        <v>111.08147002324284</v>
      </c>
      <c r="AI31" s="46">
        <v>315</v>
      </c>
      <c r="AJ31" s="43">
        <f t="shared" si="6"/>
        <v>70.710678118654741</v>
      </c>
      <c r="AK31" s="43">
        <f t="shared" si="7"/>
        <v>-70.710678118654769</v>
      </c>
      <c r="AL31" s="43">
        <f t="shared" si="22"/>
        <v>418.00856793544386</v>
      </c>
      <c r="AM31" s="43">
        <f t="shared" si="8"/>
        <v>97.534642961887144</v>
      </c>
      <c r="AN31" s="43">
        <f t="shared" si="9"/>
        <v>60.926130865969121</v>
      </c>
      <c r="AO31" s="43">
        <f t="shared" si="13"/>
        <v>103.89559793766242</v>
      </c>
      <c r="AP31" s="43">
        <f t="shared" si="14"/>
        <v>64.89957418331494</v>
      </c>
      <c r="AW31" s="46">
        <v>22</v>
      </c>
      <c r="AX31" s="44">
        <v>-19.87</v>
      </c>
      <c r="AY31" s="43">
        <f t="shared" si="23"/>
        <v>301.60354430379738</v>
      </c>
      <c r="AZ31" s="45">
        <v>105</v>
      </c>
      <c r="BA31" s="43">
        <f t="shared" si="15"/>
        <v>8.8884978317658394</v>
      </c>
      <c r="BB31" s="43">
        <f t="shared" si="16"/>
        <v>97.971528492076757</v>
      </c>
      <c r="BC31" s="43">
        <f t="shared" si="17"/>
        <v>6.4110218690229228</v>
      </c>
      <c r="BD31" s="43">
        <f t="shared" si="18"/>
        <v>86.230058701031382</v>
      </c>
      <c r="BE31" s="43">
        <f t="shared" si="19"/>
        <v>4.7593712271943129</v>
      </c>
      <c r="BF31" s="43">
        <f t="shared" si="20"/>
        <v>78.402412173667798</v>
      </c>
      <c r="BG31" s="46">
        <v>210</v>
      </c>
      <c r="BH31" s="43">
        <f>BJ31*COS(RADIANS(90-$BA$8+BG31))</f>
        <v>27.637398932316131</v>
      </c>
      <c r="BI31" s="43">
        <f>BJ31*SIN(RADIANS(90-$BA$8+BG31))</f>
        <v>-32.145892359023222</v>
      </c>
      <c r="BJ31" s="43">
        <f>(0.7*$C$5*SIN(ASIN(3/7*SIN(RADIANS(BG31)))+RADIANS(BG31)))/SIN(RADIANS(BG31))</f>
        <v>42.393209542353553</v>
      </c>
    </row>
    <row r="32" spans="2:62" x14ac:dyDescent="0.2">
      <c r="B32" s="57" t="s">
        <v>35</v>
      </c>
      <c r="C32" s="65"/>
      <c r="L32" s="43">
        <f>N11</f>
        <v>-97.508364765922877</v>
      </c>
      <c r="M32" s="44">
        <f>N13</f>
        <v>-90.876805219104043</v>
      </c>
      <c r="N32" s="43">
        <f>N15</f>
        <v>-74.088014778283224</v>
      </c>
      <c r="O32" s="43">
        <f>N17</f>
        <v>-54.772255750516614</v>
      </c>
      <c r="P32" s="43">
        <f>N19</f>
        <v>-39.48910737738003</v>
      </c>
      <c r="Q32" s="43">
        <f>N21</f>
        <v>-30.291293848068083</v>
      </c>
      <c r="R32" s="43">
        <f>N23</f>
        <v>-27.186349660618902</v>
      </c>
      <c r="T32" s="43">
        <f>(M32+M35)/2</f>
        <v>-84.456207293525807</v>
      </c>
      <c r="Z32" s="45">
        <v>110</v>
      </c>
      <c r="AA32" s="43">
        <f t="shared" si="0"/>
        <v>-34.202014332566868</v>
      </c>
      <c r="AB32" s="43">
        <f t="shared" si="1"/>
        <v>93.969262078590845</v>
      </c>
      <c r="AC32" s="43">
        <f t="shared" si="2"/>
        <v>-13.680805733026748</v>
      </c>
      <c r="AD32" s="43">
        <f t="shared" si="3"/>
        <v>37.587704831436341</v>
      </c>
      <c r="AE32" s="43">
        <f t="shared" si="11"/>
        <v>-21.631253171326989</v>
      </c>
      <c r="AF32" s="43">
        <f t="shared" si="12"/>
        <v>59.431379642727101</v>
      </c>
      <c r="AG32" s="43">
        <f t="shared" si="4"/>
        <v>-39.332316482451894</v>
      </c>
      <c r="AH32" s="43">
        <f t="shared" si="5"/>
        <v>108.06465139037945</v>
      </c>
      <c r="AI32" s="46">
        <v>330</v>
      </c>
      <c r="AJ32" s="43">
        <f t="shared" si="6"/>
        <v>86.602540378443834</v>
      </c>
      <c r="AK32" s="43">
        <f t="shared" si="7"/>
        <v>-50.000000000000043</v>
      </c>
      <c r="AL32" s="43">
        <f t="shared" si="22"/>
        <v>433.00856793544386</v>
      </c>
      <c r="AM32" s="43">
        <f t="shared" si="8"/>
        <v>109.98007360729143</v>
      </c>
      <c r="AN32" s="43">
        <f t="shared" si="9"/>
        <v>33.606300143496235</v>
      </c>
      <c r="AO32" s="43">
        <f t="shared" si="13"/>
        <v>117.15268710341917</v>
      </c>
      <c r="AP32" s="43">
        <f t="shared" si="14"/>
        <v>35.798015370245999</v>
      </c>
      <c r="AW32" s="46">
        <v>23</v>
      </c>
      <c r="AX32" s="44">
        <v>-19.63</v>
      </c>
      <c r="AY32" s="43">
        <f t="shared" si="23"/>
        <v>302.61037974683535</v>
      </c>
      <c r="AZ32" s="45">
        <v>110</v>
      </c>
      <c r="BA32" s="43">
        <f t="shared" si="15"/>
        <v>14.802966861810408</v>
      </c>
      <c r="BB32" s="43">
        <f t="shared" si="16"/>
        <v>96.451326270812316</v>
      </c>
      <c r="BC32" s="43">
        <f t="shared" si="17"/>
        <v>11.311581922488422</v>
      </c>
      <c r="BD32" s="43">
        <f t="shared" si="18"/>
        <v>84.970462574840838</v>
      </c>
      <c r="BE32" s="43">
        <f t="shared" si="19"/>
        <v>8.9839919629404346</v>
      </c>
      <c r="BF32" s="43">
        <f t="shared" si="20"/>
        <v>77.316553444193204</v>
      </c>
      <c r="BG32" s="46">
        <v>210</v>
      </c>
      <c r="BH32" s="43">
        <f>BJ32*COS(RADIANS(90-$BA$8+BG32))</f>
        <v>14.15743777643968</v>
      </c>
      <c r="BI32" s="43">
        <f>BJ32*SIN(RADIANS(90-$BA$8+BG32))</f>
        <v>-16.466942925980312</v>
      </c>
      <c r="BJ32" s="43">
        <f>(0.5*$C$5*SIN(ASIN(3/5*SIN(RADIANS(BG31)))+RADIANS(BG31)))/SIN(RADIANS(BG31))</f>
        <v>21.716197957314129</v>
      </c>
    </row>
    <row r="33" spans="2:62" x14ac:dyDescent="0.2">
      <c r="B33" s="57" t="s">
        <v>38</v>
      </c>
      <c r="C33" s="63">
        <f>Clock!N10</f>
        <v>21</v>
      </c>
      <c r="L33" s="43">
        <f>N12</f>
        <v>22.183750817288381</v>
      </c>
      <c r="M33" s="44">
        <f>N14</f>
        <v>25.381529856711445</v>
      </c>
      <c r="N33" s="43">
        <f>N16</f>
        <v>30.182214402076035</v>
      </c>
      <c r="O33" s="43">
        <f>N18</f>
        <v>31.622776601683803</v>
      </c>
      <c r="P33" s="43">
        <f>N20</f>
        <v>30.669372320570091</v>
      </c>
      <c r="Q33" s="43">
        <f>N22</f>
        <v>29.658417562504706</v>
      </c>
      <c r="R33" s="43">
        <f>N24</f>
        <v>29.341138228189973</v>
      </c>
      <c r="T33" s="43">
        <f>(M33+M36)/2</f>
        <v>39.210849087682988</v>
      </c>
      <c r="Z33" s="45">
        <v>115</v>
      </c>
      <c r="AA33" s="43">
        <f t="shared" si="0"/>
        <v>-42.261826174069931</v>
      </c>
      <c r="AB33" s="43">
        <f t="shared" si="1"/>
        <v>90.630778703665001</v>
      </c>
      <c r="AC33" s="43">
        <f t="shared" si="2"/>
        <v>-16.904730469627975</v>
      </c>
      <c r="AD33" s="43">
        <f t="shared" si="3"/>
        <v>36.252311481466002</v>
      </c>
      <c r="AE33" s="43">
        <f t="shared" si="11"/>
        <v>-26.728725757636131</v>
      </c>
      <c r="AF33" s="43">
        <f t="shared" si="12"/>
        <v>57.319937363652798</v>
      </c>
      <c r="AG33" s="43">
        <f t="shared" si="4"/>
        <v>-48.601100100180417</v>
      </c>
      <c r="AH33" s="43">
        <f t="shared" si="5"/>
        <v>104.22539550921475</v>
      </c>
      <c r="AI33" s="46">
        <v>345</v>
      </c>
      <c r="AJ33" s="43">
        <f t="shared" si="6"/>
        <v>96.592582628906825</v>
      </c>
      <c r="AK33" s="43">
        <f t="shared" si="7"/>
        <v>-25.881904510252067</v>
      </c>
      <c r="AL33" s="43">
        <f t="shared" si="22"/>
        <v>448.00856793544386</v>
      </c>
      <c r="AM33" s="43">
        <f t="shared" si="8"/>
        <v>114.93054398702394</v>
      </c>
      <c r="AN33" s="43">
        <f t="shared" si="9"/>
        <v>3.9962556032809502</v>
      </c>
      <c r="AO33" s="43">
        <f t="shared" si="13"/>
        <v>122.42601424704726</v>
      </c>
      <c r="AP33" s="43">
        <f t="shared" si="14"/>
        <v>4.2568809687123172</v>
      </c>
      <c r="AW33" s="46">
        <v>24</v>
      </c>
      <c r="AX33" s="44">
        <v>-19.399999999999999</v>
      </c>
      <c r="AY33" s="43">
        <f t="shared" si="23"/>
        <v>303.61721518987332</v>
      </c>
      <c r="AZ33" s="45">
        <v>115</v>
      </c>
      <c r="BA33" s="43">
        <f t="shared" si="15"/>
        <v>20.562435197847709</v>
      </c>
      <c r="BB33" s="43">
        <f t="shared" si="16"/>
        <v>94.421428936689807</v>
      </c>
      <c r="BC33" s="43">
        <f t="shared" si="17"/>
        <v>16.083712829490757</v>
      </c>
      <c r="BD33" s="43">
        <f t="shared" si="18"/>
        <v>83.288547640853622</v>
      </c>
      <c r="BE33" s="43">
        <f t="shared" si="19"/>
        <v>13.097897917252791</v>
      </c>
      <c r="BF33" s="43">
        <f t="shared" si="20"/>
        <v>75.866626776962846</v>
      </c>
    </row>
    <row r="34" spans="2:62" x14ac:dyDescent="0.2">
      <c r="B34" s="57" t="s">
        <v>39</v>
      </c>
      <c r="C34" s="63">
        <f>Clock!N11</f>
        <v>8</v>
      </c>
      <c r="Z34" s="45">
        <v>120</v>
      </c>
      <c r="AA34" s="43">
        <f t="shared" si="0"/>
        <v>-49.999999999999979</v>
      </c>
      <c r="AB34" s="43">
        <f t="shared" si="1"/>
        <v>86.602540378443877</v>
      </c>
      <c r="AC34" s="43">
        <f t="shared" si="2"/>
        <v>-19.999999999999993</v>
      </c>
      <c r="AD34" s="43">
        <f t="shared" si="3"/>
        <v>34.641016151377549</v>
      </c>
      <c r="AE34" s="43">
        <f t="shared" si="11"/>
        <v>-31.622776601683782</v>
      </c>
      <c r="AF34" s="43">
        <f t="shared" si="12"/>
        <v>54.772255750516621</v>
      </c>
      <c r="AG34" s="43">
        <f t="shared" si="4"/>
        <v>-57.499999999999964</v>
      </c>
      <c r="AH34" s="43">
        <f t="shared" si="5"/>
        <v>99.592921435210442</v>
      </c>
      <c r="AI34" s="46">
        <v>360</v>
      </c>
      <c r="AJ34" s="43">
        <f t="shared" si="6"/>
        <v>100</v>
      </c>
      <c r="AK34" s="43">
        <f t="shared" si="7"/>
        <v>-2.45029690981724E-14</v>
      </c>
      <c r="AL34" s="43">
        <f t="shared" si="22"/>
        <v>463.00856793544386</v>
      </c>
      <c r="AM34" s="43">
        <f t="shared" si="8"/>
        <v>112.04868772574497</v>
      </c>
      <c r="AN34" s="43">
        <f t="shared" si="9"/>
        <v>-25.886127152173387</v>
      </c>
      <c r="AO34" s="43">
        <f t="shared" si="13"/>
        <v>119.35621083829358</v>
      </c>
      <c r="AP34" s="43">
        <f t="shared" si="14"/>
        <v>-27.574352836010789</v>
      </c>
      <c r="AW34" s="46">
        <v>25</v>
      </c>
      <c r="AX34" s="44">
        <v>-19.170000000000002</v>
      </c>
      <c r="AY34" s="43">
        <f t="shared" si="23"/>
        <v>304.62405063291129</v>
      </c>
      <c r="AZ34" s="45">
        <v>120</v>
      </c>
      <c r="BA34" s="43">
        <f t="shared" si="15"/>
        <v>26.123069808178403</v>
      </c>
      <c r="BB34" s="43">
        <f t="shared" si="16"/>
        <v>91.897285234107471</v>
      </c>
      <c r="BC34" s="43">
        <f t="shared" si="17"/>
        <v>20.691095792336185</v>
      </c>
      <c r="BD34" s="43">
        <f t="shared" si="18"/>
        <v>81.197114287285387</v>
      </c>
      <c r="BE34" s="43">
        <f t="shared" si="19"/>
        <v>17.069779781774713</v>
      </c>
      <c r="BF34" s="43">
        <f t="shared" si="20"/>
        <v>74.063666989404027</v>
      </c>
      <c r="BG34" s="46">
        <v>240</v>
      </c>
      <c r="BH34" s="43">
        <f>BJ34*COS(RADIANS(90-$BA$8+BG34))</f>
        <v>47.186372748508319</v>
      </c>
      <c r="BI34" s="43">
        <f>BJ34*SIN(RADIANS(90-$BA$8+BG34))</f>
        <v>-16.536209566851507</v>
      </c>
      <c r="BJ34" s="43">
        <f>(0.7*$C$5*SIN(ASIN(3/7*SIN(RADIANS(BG34)))+RADIANS(BG34)))/SIN(RADIANS(BG34))</f>
        <v>50</v>
      </c>
    </row>
    <row r="35" spans="2:62" x14ac:dyDescent="0.2">
      <c r="B35" s="57"/>
      <c r="C35" s="64"/>
      <c r="L35" s="43">
        <f>O11</f>
        <v>-84.70037762468904</v>
      </c>
      <c r="M35" s="44">
        <f>O13</f>
        <v>-78.035609367947572</v>
      </c>
      <c r="N35" s="43">
        <f>O15</f>
        <v>-62.062689154668448</v>
      </c>
      <c r="O35" s="43">
        <f>O17</f>
        <v>-44.721359549995796</v>
      </c>
      <c r="P35" s="43">
        <f>O19</f>
        <v>-31.549951805696914</v>
      </c>
      <c r="Q35" s="43">
        <f>O21</f>
        <v>-23.830738319810393</v>
      </c>
      <c r="R35" s="43">
        <f>O23</f>
        <v>-21.263474902020587</v>
      </c>
      <c r="T35" s="43">
        <f>(M35+M38)/2</f>
        <v>-67.539612770961185</v>
      </c>
      <c r="Z35" s="45">
        <v>125</v>
      </c>
      <c r="AA35" s="43">
        <f t="shared" si="0"/>
        <v>-57.357643635104615</v>
      </c>
      <c r="AB35" s="43">
        <f t="shared" si="1"/>
        <v>81.915204428899173</v>
      </c>
      <c r="AC35" s="43">
        <f t="shared" si="2"/>
        <v>-22.943057454041845</v>
      </c>
      <c r="AD35" s="43">
        <f t="shared" si="3"/>
        <v>32.766081771559669</v>
      </c>
      <c r="AE35" s="43">
        <f t="shared" si="11"/>
        <v>-36.276159021438076</v>
      </c>
      <c r="AF35" s="43">
        <f t="shared" si="12"/>
        <v>51.807724198726753</v>
      </c>
      <c r="AG35" s="43">
        <f t="shared" si="4"/>
        <v>-65.961290180370298</v>
      </c>
      <c r="AH35" s="43">
        <f t="shared" si="5"/>
        <v>94.202485093234031</v>
      </c>
      <c r="AW35" s="46">
        <v>26</v>
      </c>
      <c r="AX35" s="44">
        <v>-18.920000000000002</v>
      </c>
      <c r="AY35" s="43">
        <f t="shared" si="23"/>
        <v>305.63088607594926</v>
      </c>
      <c r="AZ35" s="45">
        <v>125</v>
      </c>
      <c r="BA35" s="43">
        <f t="shared" si="15"/>
        <v>31.442550905814926</v>
      </c>
      <c r="BB35" s="43">
        <f t="shared" si="16"/>
        <v>88.898105420761553</v>
      </c>
      <c r="BC35" s="43">
        <f t="shared" si="17"/>
        <v>25.098665844663593</v>
      </c>
      <c r="BD35" s="43">
        <f t="shared" si="18"/>
        <v>78.712079584798786</v>
      </c>
      <c r="BE35" s="43">
        <f t="shared" si="19"/>
        <v>20.869409137229376</v>
      </c>
      <c r="BF35" s="43">
        <f t="shared" si="20"/>
        <v>71.921395694156942</v>
      </c>
      <c r="BG35" s="46">
        <v>240</v>
      </c>
      <c r="BH35" s="43">
        <f>BJ35*COS(RADIANS(90-$BA$8+BG35))</f>
        <v>26.160142724567905</v>
      </c>
      <c r="BI35" s="43">
        <f>BJ35*SIN(RADIANS(90-$BA$8+BG35))</f>
        <v>-9.1676807771980293</v>
      </c>
      <c r="BJ35" s="43">
        <f>(0.5*$C$5*SIN(ASIN(3/5*SIN(RADIANS(BG34)))+RADIANS(BG34)))/SIN(RADIANS(BG34))</f>
        <v>27.720018726587639</v>
      </c>
    </row>
    <row r="36" spans="2:62" x14ac:dyDescent="0.2">
      <c r="B36" s="66" t="s">
        <v>48</v>
      </c>
      <c r="C36" s="64"/>
      <c r="L36" s="43">
        <f>O12</f>
        <v>53.158687247550539</v>
      </c>
      <c r="M36" s="44">
        <f>O14</f>
        <v>53.040168318654523</v>
      </c>
      <c r="N36" s="43">
        <f>O16</f>
        <v>50.479922889115024</v>
      </c>
      <c r="O36" s="43">
        <f>O18</f>
        <v>44.721359549995803</v>
      </c>
      <c r="P36" s="43">
        <f>O20</f>
        <v>38.789180721667776</v>
      </c>
      <c r="Q36" s="43">
        <f>O22</f>
        <v>35.061091346885021</v>
      </c>
      <c r="R36" s="43">
        <f>O24</f>
        <v>33.880151054656253</v>
      </c>
      <c r="T36" s="43">
        <f>(M36+M39)/2</f>
        <v>64.09947225471258</v>
      </c>
      <c r="Z36" s="45">
        <v>130</v>
      </c>
      <c r="AA36" s="43">
        <f t="shared" si="0"/>
        <v>-64.278760968653941</v>
      </c>
      <c r="AB36" s="43">
        <f t="shared" si="1"/>
        <v>76.604444311897808</v>
      </c>
      <c r="AC36" s="43">
        <f t="shared" si="2"/>
        <v>-25.711504387461574</v>
      </c>
      <c r="AD36" s="43">
        <f t="shared" si="3"/>
        <v>30.64177772475912</v>
      </c>
      <c r="AE36" s="43">
        <f t="shared" si="11"/>
        <v>-40.653457966895509</v>
      </c>
      <c r="AF36" s="43">
        <f t="shared" si="12"/>
        <v>48.448904583425424</v>
      </c>
      <c r="AG36" s="43">
        <f t="shared" si="4"/>
        <v>-73.920575113952012</v>
      </c>
      <c r="AH36" s="43">
        <f t="shared" si="5"/>
        <v>88.095110958682454</v>
      </c>
      <c r="AW36" s="46">
        <v>27</v>
      </c>
      <c r="AX36" s="44">
        <v>-18.670000000000002</v>
      </c>
      <c r="AY36" s="43">
        <f t="shared" si="23"/>
        <v>306.63772151898723</v>
      </c>
      <c r="AZ36" s="45">
        <v>130</v>
      </c>
      <c r="BA36" s="43">
        <f t="shared" si="15"/>
        <v>36.480394027613734</v>
      </c>
      <c r="BB36" s="43">
        <f t="shared" si="16"/>
        <v>85.446715065985941</v>
      </c>
      <c r="BC36" s="43">
        <f t="shared" si="17"/>
        <v>29.272878717011174</v>
      </c>
      <c r="BD36" s="43">
        <f t="shared" si="18"/>
        <v>75.852356147984693</v>
      </c>
      <c r="BE36" s="43">
        <f t="shared" si="19"/>
        <v>24.467868509942807</v>
      </c>
      <c r="BF36" s="43">
        <f t="shared" si="20"/>
        <v>69.456116869317214</v>
      </c>
    </row>
    <row r="37" spans="2:62" x14ac:dyDescent="0.2">
      <c r="B37" s="57" t="s">
        <v>49</v>
      </c>
      <c r="C37" s="63">
        <f>Clock!N14</f>
        <v>7</v>
      </c>
      <c r="Z37" s="45">
        <v>135</v>
      </c>
      <c r="AA37" s="43">
        <f t="shared" si="0"/>
        <v>-70.710678118654741</v>
      </c>
      <c r="AB37" s="43">
        <f t="shared" si="1"/>
        <v>70.710678118654755</v>
      </c>
      <c r="AC37" s="43">
        <f t="shared" si="2"/>
        <v>-28.284271247461898</v>
      </c>
      <c r="AD37" s="43">
        <f t="shared" si="3"/>
        <v>28.284271247461902</v>
      </c>
      <c r="AE37" s="43">
        <f t="shared" si="11"/>
        <v>-44.721359549995796</v>
      </c>
      <c r="AF37" s="43">
        <f t="shared" si="12"/>
        <v>44.721359549995803</v>
      </c>
      <c r="AG37" s="43">
        <f t="shared" si="4"/>
        <v>-81.317279836452954</v>
      </c>
      <c r="AH37" s="43">
        <f t="shared" si="5"/>
        <v>81.317279836452954</v>
      </c>
      <c r="AW37" s="46">
        <v>28</v>
      </c>
      <c r="AX37" s="44">
        <v>-18.420000000000002</v>
      </c>
      <c r="AY37" s="43">
        <f t="shared" si="23"/>
        <v>307.64455696202521</v>
      </c>
      <c r="AZ37" s="45">
        <v>135</v>
      </c>
      <c r="BA37" s="43">
        <f t="shared" si="15"/>
        <v>41.198258145485099</v>
      </c>
      <c r="BB37" s="43">
        <f t="shared" si="16"/>
        <v>81.569381334386918</v>
      </c>
      <c r="BC37" s="43">
        <f t="shared" si="17"/>
        <v>33.181966128961733</v>
      </c>
      <c r="BD37" s="43">
        <f t="shared" si="18"/>
        <v>72.639708198945513</v>
      </c>
      <c r="BE37" s="43">
        <f t="shared" si="19"/>
        <v>27.837771451279494</v>
      </c>
      <c r="BF37" s="43">
        <f t="shared" si="20"/>
        <v>66.686592775317919</v>
      </c>
      <c r="BG37" s="46">
        <v>270</v>
      </c>
      <c r="BH37" s="43">
        <f>BJ37*COS(RADIANS(90-$BA$8+BG37))</f>
        <v>62.148498741833542</v>
      </c>
      <c r="BI37" s="43">
        <f>BJ37*SIN(RADIANS(90-$BA$8+BG37))</f>
        <v>11.728772490602591</v>
      </c>
      <c r="BJ37" s="43">
        <f>(0.7*$C$5*SIN(ASIN(3/7*SIN(RADIANS(BG37)))+RADIANS(BG37)))/SIN(RADIANS(BG37))</f>
        <v>63.245553203367592</v>
      </c>
    </row>
    <row r="38" spans="2:62" x14ac:dyDescent="0.2">
      <c r="B38" s="58" t="s">
        <v>37</v>
      </c>
      <c r="C38" s="63">
        <f>Clock!N15</f>
        <v>15</v>
      </c>
      <c r="L38" s="43">
        <f>P11</f>
        <v>-62.376377411477023</v>
      </c>
      <c r="M38" s="44">
        <f>P13</f>
        <v>-57.043616173974797</v>
      </c>
      <c r="N38" s="43">
        <f>P15</f>
        <v>-44.639796414376249</v>
      </c>
      <c r="O38" s="43">
        <f>P17</f>
        <v>-31.622776601683793</v>
      </c>
      <c r="P38" s="43">
        <f>P19</f>
        <v>-21.983304846763783</v>
      </c>
      <c r="Q38" s="43">
        <f>P21</f>
        <v>-16.429679012080772</v>
      </c>
      <c r="R38" s="43">
        <f>P23</f>
        <v>-14.600590247018202</v>
      </c>
      <c r="T38" s="43">
        <f>(M38+M41)/2</f>
        <v>-43.568524783589893</v>
      </c>
      <c r="Z38" s="45">
        <v>140</v>
      </c>
      <c r="AA38" s="43">
        <f t="shared" si="0"/>
        <v>-76.604444311897794</v>
      </c>
      <c r="AB38" s="43">
        <f t="shared" si="1"/>
        <v>64.278760968653941</v>
      </c>
      <c r="AC38" s="43">
        <f t="shared" si="2"/>
        <v>-30.641777724759116</v>
      </c>
      <c r="AD38" s="43">
        <f t="shared" si="3"/>
        <v>25.711504387461581</v>
      </c>
      <c r="AE38" s="43">
        <f t="shared" si="11"/>
        <v>-48.448904583425417</v>
      </c>
      <c r="AF38" s="43">
        <f t="shared" si="12"/>
        <v>40.653457966895516</v>
      </c>
      <c r="AG38" s="43">
        <f t="shared" si="4"/>
        <v>-88.095110958682454</v>
      </c>
      <c r="AH38" s="43">
        <f t="shared" si="5"/>
        <v>73.920575113952026</v>
      </c>
      <c r="AW38" s="46">
        <v>29</v>
      </c>
      <c r="AX38" s="44">
        <v>-18.149999999999999</v>
      </c>
      <c r="AY38" s="43">
        <f t="shared" si="23"/>
        <v>308.65139240506318</v>
      </c>
      <c r="AZ38" s="45">
        <v>140</v>
      </c>
      <c r="BA38" s="43">
        <f t="shared" si="15"/>
        <v>45.560237464767788</v>
      </c>
      <c r="BB38" s="43">
        <f t="shared" si="16"/>
        <v>77.295613076860079</v>
      </c>
      <c r="BC38" s="43">
        <f t="shared" si="17"/>
        <v>36.796177564938816</v>
      </c>
      <c r="BD38" s="43">
        <f t="shared" si="18"/>
        <v>69.098585928423276</v>
      </c>
      <c r="BE38" s="43">
        <f t="shared" si="19"/>
        <v>30.953470965052844</v>
      </c>
      <c r="BF38" s="43">
        <f t="shared" si="20"/>
        <v>63.63390116279875</v>
      </c>
      <c r="BG38" s="46">
        <v>270</v>
      </c>
      <c r="BH38" s="43">
        <f>BJ38*COS(RADIANS(90-$BA$8+BG38))</f>
        <v>39.306161836860561</v>
      </c>
      <c r="BI38" s="43">
        <f>BJ38*SIN(RADIANS(90-$BA$8+BG38))</f>
        <v>7.4179270456460022</v>
      </c>
      <c r="BJ38" s="43">
        <f>(0.5*$C$5*SIN(ASIN(3/5*SIN(RADIANS(BG37)))+RADIANS(BG37)))/SIN(RADIANS(BG37))</f>
        <v>40</v>
      </c>
    </row>
    <row r="39" spans="2:62" x14ac:dyDescent="0.2">
      <c r="L39" s="43">
        <f>P12</f>
        <v>78.161291830859568</v>
      </c>
      <c r="M39" s="44">
        <f>P14</f>
        <v>75.158776190770638</v>
      </c>
      <c r="N39" s="43">
        <f>P16</f>
        <v>66.387412783471547</v>
      </c>
      <c r="O39" s="43">
        <f>P18</f>
        <v>54.772255750516621</v>
      </c>
      <c r="P39" s="43">
        <f>P20</f>
        <v>44.90806506646944</v>
      </c>
      <c r="Q39" s="43">
        <f>P22</f>
        <v>39.080044304758509</v>
      </c>
      <c r="R39" s="43">
        <f>P24</f>
        <v>37.240069345180622</v>
      </c>
      <c r="T39" s="43">
        <f>(M39+M42)/2</f>
        <v>82.292923661550418</v>
      </c>
      <c r="Z39" s="45">
        <v>145</v>
      </c>
      <c r="AA39" s="43">
        <f t="shared" si="0"/>
        <v>-81.915204428899187</v>
      </c>
      <c r="AB39" s="43">
        <f t="shared" si="1"/>
        <v>57.357643635104594</v>
      </c>
      <c r="AC39" s="43">
        <f t="shared" si="2"/>
        <v>-32.766081771559676</v>
      </c>
      <c r="AD39" s="43">
        <f t="shared" si="3"/>
        <v>22.943057454041838</v>
      </c>
      <c r="AE39" s="43">
        <f t="shared" si="11"/>
        <v>-51.807724198726767</v>
      </c>
      <c r="AF39" s="43">
        <f t="shared" si="12"/>
        <v>36.276159021438062</v>
      </c>
      <c r="AG39" s="43">
        <f t="shared" si="4"/>
        <v>-94.20248509323406</v>
      </c>
      <c r="AH39" s="43">
        <f t="shared" si="5"/>
        <v>65.96129018037027</v>
      </c>
      <c r="AW39" s="46">
        <v>30</v>
      </c>
      <c r="AX39" s="44">
        <v>-17.88</v>
      </c>
      <c r="AY39" s="43">
        <f t="shared" si="23"/>
        <v>309.65822784810115</v>
      </c>
      <c r="AZ39" s="45">
        <v>145</v>
      </c>
      <c r="BA39" s="43">
        <f t="shared" si="15"/>
        <v>49.533134689006928</v>
      </c>
      <c r="BB39" s="43">
        <f t="shared" si="16"/>
        <v>72.657936250417052</v>
      </c>
      <c r="BC39" s="43">
        <f t="shared" si="17"/>
        <v>40.088006693594103</v>
      </c>
      <c r="BD39" s="43">
        <f t="shared" si="18"/>
        <v>65.255939415084768</v>
      </c>
      <c r="BE39" s="43">
        <f t="shared" si="19"/>
        <v>33.791254696652231</v>
      </c>
      <c r="BF39" s="43">
        <f t="shared" si="20"/>
        <v>60.321274858196581</v>
      </c>
    </row>
    <row r="40" spans="2:62" x14ac:dyDescent="0.2">
      <c r="Z40" s="45">
        <v>150</v>
      </c>
      <c r="AA40" s="43">
        <f t="shared" si="0"/>
        <v>-86.602540378443877</v>
      </c>
      <c r="AB40" s="43">
        <f t="shared" si="1"/>
        <v>49.999999999999993</v>
      </c>
      <c r="AC40" s="43">
        <f t="shared" si="2"/>
        <v>-34.641016151377549</v>
      </c>
      <c r="AD40" s="43">
        <f t="shared" si="3"/>
        <v>19.999999999999996</v>
      </c>
      <c r="AE40" s="43">
        <f t="shared" si="11"/>
        <v>-54.772255750516621</v>
      </c>
      <c r="AF40" s="43">
        <f t="shared" si="12"/>
        <v>31.622776601683793</v>
      </c>
      <c r="AG40" s="43">
        <f t="shared" si="4"/>
        <v>-99.592921435210442</v>
      </c>
      <c r="AH40" s="43">
        <f t="shared" si="5"/>
        <v>57.499999999999986</v>
      </c>
      <c r="AW40" s="46">
        <v>31</v>
      </c>
      <c r="AX40" s="44">
        <v>-17.62</v>
      </c>
      <c r="AY40" s="43">
        <f t="shared" si="23"/>
        <v>310.66506329113912</v>
      </c>
      <c r="AZ40" s="45">
        <v>150</v>
      </c>
      <c r="BA40" s="43">
        <f t="shared" si="15"/>
        <v>53.086713671425116</v>
      </c>
      <c r="BB40" s="43">
        <f t="shared" si="16"/>
        <v>67.691646376012869</v>
      </c>
      <c r="BC40" s="43">
        <f t="shared" si="17"/>
        <v>43.032400707597752</v>
      </c>
      <c r="BD40" s="43">
        <f t="shared" si="18"/>
        <v>61.14101351914988</v>
      </c>
      <c r="BE40" s="43">
        <f t="shared" si="19"/>
        <v>36.329525398379516</v>
      </c>
      <c r="BF40" s="43">
        <f t="shared" si="20"/>
        <v>56.773924947907886</v>
      </c>
      <c r="BG40" s="46">
        <v>300</v>
      </c>
      <c r="BH40" s="43">
        <f>BJ40*COS(RADIANS(90-$BA$8+BG40))</f>
        <v>60.6623423063213</v>
      </c>
      <c r="BI40" s="43">
        <f>BJ40*SIN(RADIANS(90-$BA$8+BG40))</f>
        <v>52.154388366758752</v>
      </c>
      <c r="BJ40" s="43">
        <f>(0.7*$C$5*SIN(ASIN(3/7*SIN(RADIANS(BG40)))+RADIANS(BG40)))/SIN(RADIANS(BG40))</f>
        <v>80</v>
      </c>
    </row>
    <row r="41" spans="2:62" x14ac:dyDescent="0.2">
      <c r="L41" s="43">
        <f>Q11</f>
        <v>-33.044445953136318</v>
      </c>
      <c r="M41" s="44">
        <f>Q13</f>
        <v>-30.093433393204993</v>
      </c>
      <c r="N41" s="43">
        <f>Q15</f>
        <v>-23.334598532246879</v>
      </c>
      <c r="O41" s="43">
        <f>Q17</f>
        <v>-16.36915368707627</v>
      </c>
      <c r="P41" s="43">
        <f>Q19</f>
        <v>-11.282658079471531</v>
      </c>
      <c r="Q41" s="43">
        <f>Q21</f>
        <v>-8.3802060883312333</v>
      </c>
      <c r="R41" s="43">
        <f>Q23</f>
        <v>-7.4295769194484045</v>
      </c>
      <c r="T41" s="43">
        <f>(M41+M44)/2</f>
        <v>-15.046716696602497</v>
      </c>
      <c r="Z41" s="45">
        <v>155</v>
      </c>
      <c r="AA41" s="43">
        <f t="shared" si="0"/>
        <v>-90.630778703664987</v>
      </c>
      <c r="AB41" s="43">
        <f t="shared" si="1"/>
        <v>42.261826174069952</v>
      </c>
      <c r="AC41" s="43">
        <f t="shared" si="2"/>
        <v>-36.252311481465995</v>
      </c>
      <c r="AD41" s="43">
        <f t="shared" si="3"/>
        <v>16.904730469627978</v>
      </c>
      <c r="AE41" s="43">
        <f t="shared" si="11"/>
        <v>-57.319937363652791</v>
      </c>
      <c r="AF41" s="43">
        <f t="shared" si="12"/>
        <v>26.728725757636141</v>
      </c>
      <c r="AG41" s="43">
        <f t="shared" si="4"/>
        <v>-104.22539550921474</v>
      </c>
      <c r="AH41" s="43">
        <f t="shared" si="5"/>
        <v>48.601100100180439</v>
      </c>
      <c r="AW41" s="46">
        <v>32</v>
      </c>
      <c r="AX41" s="44">
        <v>-17.329999999999998</v>
      </c>
      <c r="AY41" s="43">
        <f t="shared" si="23"/>
        <v>311.67189873417709</v>
      </c>
      <c r="AZ41" s="45">
        <v>155</v>
      </c>
      <c r="BA41" s="43">
        <f t="shared" si="15"/>
        <v>56.193929530256511</v>
      </c>
      <c r="BB41" s="43">
        <f t="shared" si="16"/>
        <v>62.434539918319587</v>
      </c>
      <c r="BC41" s="43">
        <f t="shared" si="17"/>
        <v>45.606950990629478</v>
      </c>
      <c r="BD41" s="43">
        <f t="shared" si="18"/>
        <v>56.785125311346874</v>
      </c>
      <c r="BE41" s="43">
        <f t="shared" si="19"/>
        <v>38.548965297544797</v>
      </c>
      <c r="BF41" s="43">
        <f t="shared" si="20"/>
        <v>53.018848906698395</v>
      </c>
      <c r="BG41" s="46">
        <v>300</v>
      </c>
      <c r="BH41" s="43">
        <f>BJ41*COS(RADIANS(90-$BA$8+BG41))</f>
        <v>43.7678941739942</v>
      </c>
      <c r="BI41" s="43">
        <f>BJ41*SIN(RADIANS(90-$BA$8+BG41))</f>
        <v>37.629403415038006</v>
      </c>
      <c r="BJ41" s="43">
        <f>(0.5*$C$5*SIN(ASIN(3/5*SIN(RADIANS(BG40)))+RADIANS(BG40)))/SIN(RADIANS(BG40))</f>
        <v>57.720018726587654</v>
      </c>
    </row>
    <row r="42" spans="2:62" x14ac:dyDescent="0.2">
      <c r="L42" s="43">
        <f>Q12</f>
        <v>94.382543890796185</v>
      </c>
      <c r="M42" s="44">
        <f>Q14</f>
        <v>89.427071132330198</v>
      </c>
      <c r="N42" s="43">
        <f>Q16</f>
        <v>76.521216086382623</v>
      </c>
      <c r="O42" s="43">
        <f>Q18</f>
        <v>61.090513237072074</v>
      </c>
      <c r="P42" s="43">
        <f>Q20</f>
        <v>48.710385203380767</v>
      </c>
      <c r="Q42" s="43">
        <f>Q22</f>
        <v>41.556664462141221</v>
      </c>
      <c r="R42" s="43">
        <f>Q24</f>
        <v>39.303961469464937</v>
      </c>
      <c r="T42" s="43">
        <f>(M42+M45)/2</f>
        <v>91.890902450875046</v>
      </c>
      <c r="Z42" s="45">
        <v>160</v>
      </c>
      <c r="AA42" s="43">
        <f t="shared" ref="AA42:AA73" si="42">$C$5*COS(RADIANS(Z42))</f>
        <v>-93.96926207859083</v>
      </c>
      <c r="AB42" s="43">
        <f t="shared" ref="AB42:AB73" si="43">$C$5*SIN(RADIANS(Z42))</f>
        <v>34.20201433256689</v>
      </c>
      <c r="AC42" s="43">
        <f t="shared" ref="AC42:AC73" si="44">$C$6*COS(RADIANS(Z42))</f>
        <v>-37.587704831436334</v>
      </c>
      <c r="AD42" s="43">
        <f t="shared" ref="AD42:AD73" si="45">$C$6*SIN(RADIANS(Z42))</f>
        <v>13.680805733026755</v>
      </c>
      <c r="AE42" s="43">
        <f t="shared" si="11"/>
        <v>-59.431379642727094</v>
      </c>
      <c r="AF42" s="43">
        <f t="shared" si="12"/>
        <v>21.631253171327</v>
      </c>
      <c r="AG42" s="43">
        <f t="shared" ref="AG42:AG73" si="46">1.15*$C$5*COS(RADIANS(Z42))</f>
        <v>-108.06465139037944</v>
      </c>
      <c r="AH42" s="43">
        <f t="shared" ref="AH42:AH73" si="47">1.15*$C$5*SIN(RADIANS(Z42))</f>
        <v>39.332316482451915</v>
      </c>
      <c r="AW42" s="46">
        <v>33</v>
      </c>
      <c r="AX42" s="44">
        <v>-17.05</v>
      </c>
      <c r="AY42" s="43">
        <f t="shared" si="23"/>
        <v>312.67873417721506</v>
      </c>
      <c r="AZ42" s="45">
        <v>160</v>
      </c>
      <c r="BA42" s="43">
        <f t="shared" si="15"/>
        <v>58.831134476627184</v>
      </c>
      <c r="BB42" s="43">
        <f t="shared" si="16"/>
        <v>56.926626631807906</v>
      </c>
      <c r="BC42" s="43">
        <f t="shared" si="17"/>
        <v>47.792063660479457</v>
      </c>
      <c r="BD42" s="43">
        <f t="shared" si="18"/>
        <v>52.221425731094328</v>
      </c>
      <c r="BE42" s="43">
        <f t="shared" si="19"/>
        <v>40.432683116380986</v>
      </c>
      <c r="BF42" s="43">
        <f t="shared" si="20"/>
        <v>49.084625130618619</v>
      </c>
    </row>
    <row r="43" spans="2:62" x14ac:dyDescent="0.2">
      <c r="Z43" s="45">
        <v>165</v>
      </c>
      <c r="AA43" s="43">
        <f t="shared" si="42"/>
        <v>-96.592582628906825</v>
      </c>
      <c r="AB43" s="43">
        <f t="shared" si="43"/>
        <v>25.881904510252102</v>
      </c>
      <c r="AC43" s="43">
        <f t="shared" si="44"/>
        <v>-38.637033051562724</v>
      </c>
      <c r="AD43" s="43">
        <f t="shared" si="45"/>
        <v>10.35276180410084</v>
      </c>
      <c r="AE43" s="43">
        <f t="shared" si="11"/>
        <v>-61.090513237072066</v>
      </c>
      <c r="AF43" s="43">
        <f t="shared" si="12"/>
        <v>16.369153687076288</v>
      </c>
      <c r="AG43" s="43">
        <f t="shared" si="46"/>
        <v>-111.08147002324283</v>
      </c>
      <c r="AH43" s="43">
        <f t="shared" si="47"/>
        <v>29.764190186789914</v>
      </c>
      <c r="AW43" s="46">
        <v>34</v>
      </c>
      <c r="AX43" s="44">
        <v>-16.77</v>
      </c>
      <c r="AY43" s="43">
        <f t="shared" si="23"/>
        <v>313.68556962025303</v>
      </c>
      <c r="AZ43" s="45">
        <v>165</v>
      </c>
      <c r="BA43" s="43">
        <f t="shared" ref="BA43:BA74" si="48">0.7*$C$5*COS(RADIANS($BC$8-AZ43))+$BB$5</f>
        <v>60.978257788507335</v>
      </c>
      <c r="BB43" s="43">
        <f t="shared" ref="BB43:BB74" si="49">0.7*$C$5*SIN(RADIANS($BC$8-AZ43))+$BC$5</f>
        <v>51.209825062357154</v>
      </c>
      <c r="BC43" s="43">
        <f t="shared" ref="BC43:BC74" si="50">0.58*$C$5*COS(RADIANS($BC$8-AZ43))+$BB$5</f>
        <v>49.571108690323008</v>
      </c>
      <c r="BD43" s="43">
        <f t="shared" ref="BD43:BD74" si="51">0.58*$C$5*SIN(RADIANS($BC$8-AZ43))+$BC$5</f>
        <v>47.484647287835145</v>
      </c>
      <c r="BE43" s="43">
        <f t="shared" ref="BE43:BE74" si="52">0.5*$C$5*COS(RADIANS($BC$8-AZ43))+$BB$5</f>
        <v>41.966342624866805</v>
      </c>
      <c r="BF43" s="43">
        <f t="shared" ref="BF43:BF74" si="53">0.5*$C$5*SIN(RADIANS($BC$8-AZ43))+$BC$5</f>
        <v>45.0011954381538</v>
      </c>
      <c r="BG43" s="46">
        <v>330</v>
      </c>
      <c r="BH43" s="43">
        <f>BJ43*COS(RADIANS(90-$BA$8+BG43))</f>
        <v>31.205393024712155</v>
      </c>
      <c r="BI43" s="43">
        <f>BJ43*SIN(RADIANS(90-$BA$8+BG43))</f>
        <v>89.045152764602207</v>
      </c>
      <c r="BJ43" s="43">
        <f>(0.7*$C$5*SIN(ASIN(3/7*SIN(RADIANS(BG43)))+RADIANS(BG43)))/SIN(RADIANS(BG43))</f>
        <v>94.354733769419852</v>
      </c>
    </row>
    <row r="44" spans="2:62" x14ac:dyDescent="0.2">
      <c r="L44" s="43">
        <f>R11</f>
        <v>0</v>
      </c>
      <c r="M44" s="44">
        <f>R13</f>
        <v>0</v>
      </c>
      <c r="N44" s="43">
        <f>R15</f>
        <v>0</v>
      </c>
      <c r="O44" s="43">
        <f>R17</f>
        <v>0</v>
      </c>
      <c r="P44" s="43">
        <f>R19</f>
        <v>0</v>
      </c>
      <c r="Q44" s="43">
        <f>R21</f>
        <v>0</v>
      </c>
      <c r="R44" s="43">
        <f>R23</f>
        <v>0</v>
      </c>
      <c r="T44" s="43">
        <f>(M44+M47)/2</f>
        <v>15.046716696602497</v>
      </c>
      <c r="Z44" s="45">
        <v>170</v>
      </c>
      <c r="AA44" s="43">
        <f t="shared" si="42"/>
        <v>-98.480775301220802</v>
      </c>
      <c r="AB44" s="43">
        <f t="shared" si="43"/>
        <v>17.364817766693026</v>
      </c>
      <c r="AC44" s="43">
        <f t="shared" si="44"/>
        <v>-39.392310120488318</v>
      </c>
      <c r="AD44" s="43">
        <f t="shared" si="45"/>
        <v>6.9459271066772112</v>
      </c>
      <c r="AE44" s="43">
        <f t="shared" si="11"/>
        <v>-62.284711138222491</v>
      </c>
      <c r="AF44" s="43">
        <f t="shared" si="12"/>
        <v>10.982475059301667</v>
      </c>
      <c r="AG44" s="43">
        <f t="shared" si="46"/>
        <v>-113.25289159640391</v>
      </c>
      <c r="AH44" s="43">
        <f t="shared" si="47"/>
        <v>19.969540431696981</v>
      </c>
      <c r="AW44" s="46">
        <v>35</v>
      </c>
      <c r="AX44" s="44">
        <v>-16.47</v>
      </c>
      <c r="AY44" s="43">
        <f t="shared" si="23"/>
        <v>314.69240506329101</v>
      </c>
      <c r="AZ44" s="45">
        <v>170</v>
      </c>
      <c r="BA44" s="43">
        <f t="shared" si="48"/>
        <v>62.618958561025082</v>
      </c>
      <c r="BB44" s="43">
        <f t="shared" si="49"/>
        <v>45.327643521810018</v>
      </c>
      <c r="BC44" s="43">
        <f t="shared" si="50"/>
        <v>50.930546473266283</v>
      </c>
      <c r="BD44" s="43">
        <f t="shared" si="51"/>
        <v>42.610839725667518</v>
      </c>
      <c r="BE44" s="43">
        <f t="shared" si="52"/>
        <v>43.138271748093771</v>
      </c>
      <c r="BF44" s="43">
        <f t="shared" si="53"/>
        <v>40.799637194905849</v>
      </c>
      <c r="BG44" s="46">
        <v>330</v>
      </c>
      <c r="BH44" s="43">
        <f>BJ44*COS(RADIANS(90-$BA$8+BG44))</f>
        <v>24.367005088983582</v>
      </c>
      <c r="BI44" s="43">
        <f>BJ44*SIN(RADIANS(90-$BA$8+BG44))</f>
        <v>69.5316892450643</v>
      </c>
      <c r="BJ44" s="43">
        <f>(0.5*$C$5*SIN(ASIN(3/5*SIN(RADIANS(BG43)))+RADIANS(BG43)))/SIN(RADIANS(BG43))</f>
        <v>73.677722184380414</v>
      </c>
    </row>
    <row r="45" spans="2:62" x14ac:dyDescent="0.2">
      <c r="L45" s="43">
        <f>R12</f>
        <v>99.999999998239076</v>
      </c>
      <c r="M45" s="44">
        <f>R14</f>
        <v>94.354733769419909</v>
      </c>
      <c r="N45" s="43">
        <f>R16</f>
        <v>80</v>
      </c>
      <c r="O45" s="43">
        <f>R18</f>
        <v>63.245553203367592</v>
      </c>
      <c r="P45" s="43">
        <f>R20</f>
        <v>50.000000000000007</v>
      </c>
      <c r="Q45" s="43">
        <f>R22</f>
        <v>42.393209542353539</v>
      </c>
      <c r="R45" s="43">
        <f>R24</f>
        <v>40.000000004939807</v>
      </c>
      <c r="T45" s="43">
        <f>(M45+M48)/2</f>
        <v>91.890902450875046</v>
      </c>
      <c r="Z45" s="45">
        <v>175</v>
      </c>
      <c r="AA45" s="43">
        <f t="shared" si="42"/>
        <v>-99.619469809174561</v>
      </c>
      <c r="AB45" s="43">
        <f t="shared" si="43"/>
        <v>8.7155742747658191</v>
      </c>
      <c r="AC45" s="43">
        <f t="shared" si="44"/>
        <v>-39.84778792366982</v>
      </c>
      <c r="AD45" s="43">
        <f t="shared" si="45"/>
        <v>3.4862297099063277</v>
      </c>
      <c r="AE45" s="43">
        <f t="shared" si="11"/>
        <v>-63.00488477907421</v>
      </c>
      <c r="AF45" s="43">
        <f t="shared" si="12"/>
        <v>5.5122131649260355</v>
      </c>
      <c r="AG45" s="43">
        <f t="shared" si="46"/>
        <v>-114.56239028055073</v>
      </c>
      <c r="AH45" s="43">
        <f t="shared" si="47"/>
        <v>10.022910415980691</v>
      </c>
      <c r="AW45" s="46">
        <v>36</v>
      </c>
      <c r="AX45" s="44">
        <v>-16.170000000000002</v>
      </c>
      <c r="AY45" s="43">
        <f t="shared" si="23"/>
        <v>315.69924050632898</v>
      </c>
      <c r="AZ45" s="45">
        <v>175</v>
      </c>
      <c r="BA45" s="43">
        <f t="shared" si="48"/>
        <v>63.740750070619328</v>
      </c>
      <c r="BB45" s="43">
        <f t="shared" si="49"/>
        <v>39.324848963448389</v>
      </c>
      <c r="BC45" s="43">
        <f t="shared" si="50"/>
        <v>51.860030866930096</v>
      </c>
      <c r="BD45" s="43">
        <f t="shared" si="51"/>
        <v>37.637095663025022</v>
      </c>
      <c r="BE45" s="43">
        <f t="shared" si="52"/>
        <v>43.939551397803946</v>
      </c>
      <c r="BF45" s="43">
        <f t="shared" si="53"/>
        <v>36.511926796076111</v>
      </c>
    </row>
    <row r="46" spans="2:62" x14ac:dyDescent="0.2">
      <c r="Z46" s="45">
        <v>180</v>
      </c>
      <c r="AA46" s="43">
        <f t="shared" si="42"/>
        <v>-100</v>
      </c>
      <c r="AB46" s="43">
        <f t="shared" si="43"/>
        <v>1.22514845490862E-14</v>
      </c>
      <c r="AC46" s="43">
        <f t="shared" si="44"/>
        <v>-40</v>
      </c>
      <c r="AD46" s="43">
        <f t="shared" si="45"/>
        <v>4.90059381963448E-15</v>
      </c>
      <c r="AE46" s="43">
        <f t="shared" si="11"/>
        <v>-63.245553203367592</v>
      </c>
      <c r="AF46" s="43">
        <f t="shared" si="12"/>
        <v>7.7485191786946735E-15</v>
      </c>
      <c r="AG46" s="43">
        <f t="shared" si="46"/>
        <v>-114.99999999999999</v>
      </c>
      <c r="AH46" s="43">
        <f t="shared" si="47"/>
        <v>1.4089207231449129E-14</v>
      </c>
      <c r="AW46" s="46">
        <v>37</v>
      </c>
      <c r="AX46" s="44">
        <v>-15.87</v>
      </c>
      <c r="AY46" s="43">
        <f t="shared" si="23"/>
        <v>316.70607594936695</v>
      </c>
      <c r="AZ46" s="45">
        <v>180</v>
      </c>
      <c r="BA46" s="43">
        <f t="shared" si="48"/>
        <v>64.335094806545868</v>
      </c>
      <c r="BB46" s="43">
        <f t="shared" si="49"/>
        <v>33.247126278447844</v>
      </c>
      <c r="BC46" s="43">
        <f t="shared" si="50"/>
        <v>52.352487933840649</v>
      </c>
      <c r="BD46" s="43">
        <f t="shared" si="51"/>
        <v>32.601268295453146</v>
      </c>
      <c r="BE46" s="43">
        <f t="shared" si="52"/>
        <v>44.364083352037184</v>
      </c>
      <c r="BF46" s="43">
        <f t="shared" si="53"/>
        <v>32.170696306790006</v>
      </c>
      <c r="BG46" s="46">
        <v>270</v>
      </c>
      <c r="BH46" s="43">
        <f>BJ46*COS(RADIANS(90-$BA$8+BG46))</f>
        <v>79.017376971759788</v>
      </c>
      <c r="BI46" s="43">
        <f>BJ46*SIN(RADIANS(90-$BA$8+BG46))</f>
        <v>14.912296452337579</v>
      </c>
      <c r="BJ46" s="43">
        <f>(0.89*$C$5*SIN(ASIN(3/7*SIN(RADIANS(BG46)))+RADIANS(BG46)))/SIN(RADIANS(BG46))</f>
        <v>80.412203358567368</v>
      </c>
    </row>
    <row r="47" spans="2:62" x14ac:dyDescent="0.2">
      <c r="L47" s="43">
        <f>-L41</f>
        <v>33.044445953136318</v>
      </c>
      <c r="M47" s="44">
        <f t="shared" ref="M47:R47" si="54">-M41</f>
        <v>30.093433393204993</v>
      </c>
      <c r="N47" s="43">
        <f t="shared" si="54"/>
        <v>23.334598532246879</v>
      </c>
      <c r="O47" s="43">
        <f t="shared" si="54"/>
        <v>16.36915368707627</v>
      </c>
      <c r="P47" s="43">
        <f t="shared" si="54"/>
        <v>11.282658079471531</v>
      </c>
      <c r="Q47" s="43">
        <f t="shared" si="54"/>
        <v>8.3802060883312333</v>
      </c>
      <c r="R47" s="43">
        <f t="shared" si="54"/>
        <v>7.4295769194484045</v>
      </c>
      <c r="T47" s="43">
        <f>(M47+M50)/2</f>
        <v>43.568524783589893</v>
      </c>
      <c r="Z47" s="45">
        <v>185</v>
      </c>
      <c r="AA47" s="43">
        <f t="shared" si="42"/>
        <v>-99.619469809174561</v>
      </c>
      <c r="AB47" s="43">
        <f t="shared" si="43"/>
        <v>-8.7155742747657943</v>
      </c>
      <c r="AC47" s="43">
        <f t="shared" si="44"/>
        <v>-39.84778792366982</v>
      </c>
      <c r="AD47" s="43">
        <f t="shared" si="45"/>
        <v>-3.4862297099063175</v>
      </c>
      <c r="AE47" s="43">
        <f t="shared" si="11"/>
        <v>-63.00488477907421</v>
      </c>
      <c r="AF47" s="43">
        <f t="shared" si="12"/>
        <v>-5.5122131649260195</v>
      </c>
      <c r="AG47" s="43">
        <f t="shared" si="46"/>
        <v>-114.56239028055073</v>
      </c>
      <c r="AH47" s="43">
        <f t="shared" si="47"/>
        <v>-10.022910415980663</v>
      </c>
      <c r="AW47" s="46">
        <v>38</v>
      </c>
      <c r="AX47" s="44">
        <v>-15.57</v>
      </c>
      <c r="AY47" s="43">
        <f t="shared" si="23"/>
        <v>317.71291139240492</v>
      </c>
      <c r="AZ47" s="45">
        <v>185</v>
      </c>
      <c r="BA47" s="43">
        <f t="shared" si="48"/>
        <v>64.397469446489083</v>
      </c>
      <c r="BB47" s="43">
        <f t="shared" si="49"/>
        <v>27.140730606270537</v>
      </c>
      <c r="BC47" s="43">
        <f t="shared" si="50"/>
        <v>52.404169778365038</v>
      </c>
      <c r="BD47" s="43">
        <f t="shared" si="51"/>
        <v>27.541683309934804</v>
      </c>
      <c r="BE47" s="43">
        <f t="shared" si="52"/>
        <v>44.408636666282348</v>
      </c>
      <c r="BF47" s="43">
        <f t="shared" si="53"/>
        <v>27.808985112377648</v>
      </c>
      <c r="BG47" s="46">
        <v>270</v>
      </c>
      <c r="BH47" s="43">
        <f>BJ47*COS(RADIANS(90-$BA$8+BG47))</f>
        <v>63.036334438145445</v>
      </c>
      <c r="BI47" s="43">
        <f>BJ47*SIN(RADIANS(90-$BA$8+BG47))</f>
        <v>11.896326383325484</v>
      </c>
      <c r="BJ47" s="43">
        <f>(0.71*$C$5*SIN(ASIN(3/7*SIN(RADIANS(BG47)))+RADIANS(BG47)))/SIN(RADIANS(BG47))</f>
        <v>64.149061106272839</v>
      </c>
    </row>
    <row r="48" spans="2:62" x14ac:dyDescent="0.2">
      <c r="L48" s="43">
        <f>L42</f>
        <v>94.382543890796185</v>
      </c>
      <c r="M48" s="44">
        <f t="shared" ref="M48:R48" si="55">M42</f>
        <v>89.427071132330198</v>
      </c>
      <c r="N48" s="43">
        <f t="shared" si="55"/>
        <v>76.521216086382623</v>
      </c>
      <c r="O48" s="43">
        <f t="shared" si="55"/>
        <v>61.090513237072074</v>
      </c>
      <c r="P48" s="43">
        <f t="shared" si="55"/>
        <v>48.710385203380767</v>
      </c>
      <c r="Q48" s="43">
        <f t="shared" si="55"/>
        <v>41.556664462141221</v>
      </c>
      <c r="R48" s="43">
        <f t="shared" si="55"/>
        <v>39.303961469464937</v>
      </c>
      <c r="T48" s="43">
        <f>(M48+M51)/2</f>
        <v>82.292923661550418</v>
      </c>
      <c r="Z48" s="45">
        <v>190</v>
      </c>
      <c r="AA48" s="43">
        <f t="shared" si="42"/>
        <v>-98.480775301220802</v>
      </c>
      <c r="AB48" s="43">
        <f t="shared" si="43"/>
        <v>-17.364817766693047</v>
      </c>
      <c r="AC48" s="43">
        <f t="shared" si="44"/>
        <v>-39.392310120488318</v>
      </c>
      <c r="AD48" s="43">
        <f t="shared" si="45"/>
        <v>-6.9459271066772192</v>
      </c>
      <c r="AE48" s="43">
        <f t="shared" si="11"/>
        <v>-62.284711138222491</v>
      </c>
      <c r="AF48" s="43">
        <f t="shared" si="12"/>
        <v>-10.982475059301679</v>
      </c>
      <c r="AG48" s="43">
        <f t="shared" si="46"/>
        <v>-113.25289159640391</v>
      </c>
      <c r="AH48" s="43">
        <f t="shared" si="47"/>
        <v>-19.969540431697002</v>
      </c>
      <c r="AW48" s="46">
        <v>39</v>
      </c>
      <c r="AX48" s="44">
        <v>-15.25</v>
      </c>
      <c r="AY48" s="43">
        <f t="shared" si="23"/>
        <v>318.71974683544289</v>
      </c>
      <c r="AZ48" s="45">
        <v>190</v>
      </c>
      <c r="BA48" s="43">
        <f t="shared" si="48"/>
        <v>63.927399281776218</v>
      </c>
      <c r="BB48" s="43">
        <f t="shared" si="49"/>
        <v>21.052135305124256</v>
      </c>
      <c r="BC48" s="43">
        <f t="shared" si="50"/>
        <v>52.014683070460087</v>
      </c>
      <c r="BD48" s="43">
        <f t="shared" si="51"/>
        <v>22.496847203270743</v>
      </c>
      <c r="BE48" s="43">
        <f t="shared" si="52"/>
        <v>44.072872262916015</v>
      </c>
      <c r="BF48" s="43">
        <f t="shared" si="53"/>
        <v>23.459988468701731</v>
      </c>
    </row>
    <row r="49" spans="12:61" x14ac:dyDescent="0.2">
      <c r="Z49" s="45">
        <v>195</v>
      </c>
      <c r="AA49" s="43">
        <f t="shared" si="42"/>
        <v>-96.592582628906825</v>
      </c>
      <c r="AB49" s="43">
        <f t="shared" si="43"/>
        <v>-25.881904510252081</v>
      </c>
      <c r="AC49" s="43">
        <f t="shared" si="44"/>
        <v>-38.637033051562732</v>
      </c>
      <c r="AD49" s="43">
        <f t="shared" si="45"/>
        <v>-10.352761804100831</v>
      </c>
      <c r="AE49" s="43">
        <f t="shared" si="11"/>
        <v>-61.090513237072074</v>
      </c>
      <c r="AF49" s="43">
        <f t="shared" si="12"/>
        <v>-16.369153687076274</v>
      </c>
      <c r="AG49" s="43">
        <f t="shared" si="46"/>
        <v>-111.08147002324284</v>
      </c>
      <c r="AH49" s="43">
        <f t="shared" si="47"/>
        <v>-29.764190186789889</v>
      </c>
      <c r="AW49" s="46">
        <v>40</v>
      </c>
      <c r="AX49" s="44">
        <v>-14.93</v>
      </c>
      <c r="AY49" s="43">
        <f t="shared" si="23"/>
        <v>319.72658227848086</v>
      </c>
      <c r="AZ49" s="45">
        <v>195</v>
      </c>
      <c r="BA49" s="43">
        <f t="shared" si="48"/>
        <v>62.928461830196838</v>
      </c>
      <c r="BB49" s="43">
        <f t="shared" si="49"/>
        <v>15.027678261645079</v>
      </c>
      <c r="BC49" s="43">
        <f t="shared" si="50"/>
        <v>51.186992039151455</v>
      </c>
      <c r="BD49" s="43">
        <f t="shared" si="51"/>
        <v>17.505154224387994</v>
      </c>
      <c r="BE49" s="43">
        <f t="shared" si="52"/>
        <v>43.359345511787879</v>
      </c>
      <c r="BF49" s="43">
        <f t="shared" si="53"/>
        <v>19.156804866216604</v>
      </c>
    </row>
    <row r="50" spans="12:61" x14ac:dyDescent="0.2">
      <c r="L50" s="43">
        <f>-L38</f>
        <v>62.376377411477023</v>
      </c>
      <c r="M50" s="44">
        <f t="shared" ref="M50:R50" si="56">-M38</f>
        <v>57.043616173974797</v>
      </c>
      <c r="N50" s="43">
        <f t="shared" si="56"/>
        <v>44.639796414376249</v>
      </c>
      <c r="O50" s="43">
        <f t="shared" si="56"/>
        <v>31.622776601683793</v>
      </c>
      <c r="P50" s="43">
        <f t="shared" si="56"/>
        <v>21.983304846763783</v>
      </c>
      <c r="Q50" s="43">
        <f t="shared" si="56"/>
        <v>16.429679012080772</v>
      </c>
      <c r="R50" s="43">
        <f t="shared" si="56"/>
        <v>14.600590247018202</v>
      </c>
      <c r="T50" s="43">
        <f>(M50+M53)/2</f>
        <v>67.539612770961185</v>
      </c>
      <c r="Z50" s="45">
        <v>200</v>
      </c>
      <c r="AA50" s="43">
        <f t="shared" si="42"/>
        <v>-93.969262078590845</v>
      </c>
      <c r="AB50" s="43">
        <f t="shared" si="43"/>
        <v>-34.202014332566868</v>
      </c>
      <c r="AC50" s="43">
        <f t="shared" si="44"/>
        <v>-37.587704831436341</v>
      </c>
      <c r="AD50" s="43">
        <f t="shared" si="45"/>
        <v>-13.680805733026746</v>
      </c>
      <c r="AE50" s="43">
        <f t="shared" si="11"/>
        <v>-59.431379642727101</v>
      </c>
      <c r="AF50" s="43">
        <f t="shared" si="12"/>
        <v>-21.631253171326986</v>
      </c>
      <c r="AG50" s="43">
        <f t="shared" si="46"/>
        <v>-108.06465139037945</v>
      </c>
      <c r="AH50" s="43">
        <f t="shared" si="47"/>
        <v>-39.332316482451894</v>
      </c>
      <c r="AW50" s="46">
        <v>41</v>
      </c>
      <c r="AX50" s="44">
        <v>-14.62</v>
      </c>
      <c r="AY50" s="43">
        <f t="shared" si="23"/>
        <v>320.73341772151883</v>
      </c>
      <c r="AZ50" s="45">
        <v>200</v>
      </c>
      <c r="BA50" s="43">
        <f t="shared" si="48"/>
        <v>61.408259608932383</v>
      </c>
      <c r="BB50" s="43">
        <f t="shared" si="49"/>
        <v>9.1132092316005</v>
      </c>
      <c r="BC50" s="43">
        <f t="shared" si="50"/>
        <v>49.927395912960911</v>
      </c>
      <c r="BD50" s="43">
        <f t="shared" si="51"/>
        <v>12.604594170922489</v>
      </c>
      <c r="BE50" s="43">
        <f t="shared" si="52"/>
        <v>42.27348678231327</v>
      </c>
      <c r="BF50" s="43">
        <f t="shared" si="53"/>
        <v>14.932184130470478</v>
      </c>
      <c r="BH50" s="43">
        <f>(BH43+BH11)/2</f>
        <v>8.184769466710069</v>
      </c>
      <c r="BI50" s="43">
        <f>(BI43+BI11)/2</f>
        <v>83.828738219161664</v>
      </c>
    </row>
    <row r="51" spans="12:61" x14ac:dyDescent="0.2">
      <c r="L51" s="43">
        <f>L39</f>
        <v>78.161291830859568</v>
      </c>
      <c r="M51" s="44">
        <f t="shared" ref="M51:R51" si="57">M39</f>
        <v>75.158776190770638</v>
      </c>
      <c r="N51" s="43">
        <f t="shared" si="57"/>
        <v>66.387412783471547</v>
      </c>
      <c r="O51" s="43">
        <f t="shared" si="57"/>
        <v>54.772255750516621</v>
      </c>
      <c r="P51" s="43">
        <f t="shared" si="57"/>
        <v>44.90806506646944</v>
      </c>
      <c r="Q51" s="43">
        <f t="shared" si="57"/>
        <v>39.080044304758509</v>
      </c>
      <c r="R51" s="43">
        <f t="shared" si="57"/>
        <v>37.240069345180622</v>
      </c>
      <c r="T51" s="43">
        <f>(M51+M54)/2</f>
        <v>64.09947225471258</v>
      </c>
      <c r="Z51" s="45">
        <v>205</v>
      </c>
      <c r="AA51" s="43">
        <f t="shared" si="42"/>
        <v>-90.630778703665001</v>
      </c>
      <c r="AB51" s="43">
        <f t="shared" si="43"/>
        <v>-42.261826174069924</v>
      </c>
      <c r="AC51" s="43">
        <f t="shared" si="44"/>
        <v>-36.252311481466002</v>
      </c>
      <c r="AD51" s="43">
        <f t="shared" si="45"/>
        <v>-16.904730469627971</v>
      </c>
      <c r="AE51" s="43">
        <f t="shared" si="11"/>
        <v>-57.319937363652798</v>
      </c>
      <c r="AF51" s="43">
        <f t="shared" si="12"/>
        <v>-26.728725757636127</v>
      </c>
      <c r="AG51" s="43">
        <f t="shared" si="46"/>
        <v>-104.22539550921475</v>
      </c>
      <c r="AH51" s="43">
        <f t="shared" si="47"/>
        <v>-48.60110010018041</v>
      </c>
      <c r="AW51" s="46">
        <v>42</v>
      </c>
      <c r="AX51" s="44">
        <v>-14.3</v>
      </c>
      <c r="AY51" s="43">
        <f t="shared" si="23"/>
        <v>321.7402531645568</v>
      </c>
      <c r="AZ51" s="45">
        <v>205</v>
      </c>
      <c r="BA51" s="43">
        <f t="shared" si="48"/>
        <v>59.378362274809888</v>
      </c>
      <c r="BB51" s="43">
        <f t="shared" si="49"/>
        <v>3.3537408955632131</v>
      </c>
      <c r="BC51" s="43">
        <f t="shared" si="50"/>
        <v>48.245480978973703</v>
      </c>
      <c r="BD51" s="43">
        <f t="shared" si="51"/>
        <v>7.8324632639201646</v>
      </c>
      <c r="BE51" s="43">
        <f t="shared" si="52"/>
        <v>40.82356011508292</v>
      </c>
      <c r="BF51" s="43">
        <f t="shared" si="53"/>
        <v>10.818278176158127</v>
      </c>
    </row>
    <row r="52" spans="12:61" x14ac:dyDescent="0.2">
      <c r="Z52" s="45">
        <v>210</v>
      </c>
      <c r="AA52" s="43">
        <f t="shared" si="42"/>
        <v>-86.602540378443862</v>
      </c>
      <c r="AB52" s="43">
        <f t="shared" si="43"/>
        <v>-50.000000000000014</v>
      </c>
      <c r="AC52" s="43">
        <f t="shared" si="44"/>
        <v>-34.641016151377542</v>
      </c>
      <c r="AD52" s="43">
        <f t="shared" si="45"/>
        <v>-20.000000000000004</v>
      </c>
      <c r="AE52" s="43">
        <f t="shared" si="11"/>
        <v>-54.772255750516614</v>
      </c>
      <c r="AF52" s="43">
        <f t="shared" si="12"/>
        <v>-31.622776601683803</v>
      </c>
      <c r="AG52" s="43">
        <f t="shared" si="46"/>
        <v>-99.592921435210428</v>
      </c>
      <c r="AH52" s="43">
        <f t="shared" si="47"/>
        <v>-57.500000000000007</v>
      </c>
      <c r="AW52" s="46">
        <v>43</v>
      </c>
      <c r="AX52" s="44">
        <v>-13.97</v>
      </c>
      <c r="AY52" s="43">
        <f t="shared" si="23"/>
        <v>322.74708860759478</v>
      </c>
      <c r="AZ52" s="45">
        <v>210</v>
      </c>
      <c r="BA52" s="43">
        <f t="shared" si="48"/>
        <v>56.854218572227552</v>
      </c>
      <c r="BB52" s="43">
        <f t="shared" si="49"/>
        <v>-2.2068937147674887</v>
      </c>
      <c r="BC52" s="43">
        <f t="shared" si="50"/>
        <v>46.154047625405475</v>
      </c>
      <c r="BD52" s="43">
        <f t="shared" si="51"/>
        <v>3.2250803010747298</v>
      </c>
      <c r="BE52" s="43">
        <f t="shared" si="52"/>
        <v>39.020600327524107</v>
      </c>
      <c r="BF52" s="43">
        <f t="shared" si="53"/>
        <v>6.8463963116362017</v>
      </c>
      <c r="BH52" s="43">
        <f>(BH11+BH13)/2</f>
        <v>-38.174260978473825</v>
      </c>
      <c r="BI52" s="43">
        <f>(BI11+BI13)/2</f>
        <v>75.079781575250337</v>
      </c>
    </row>
    <row r="53" spans="12:61" x14ac:dyDescent="0.2">
      <c r="L53" s="43">
        <f>-L35</f>
        <v>84.70037762468904</v>
      </c>
      <c r="M53" s="44">
        <f t="shared" ref="M53:R53" si="58">-M35</f>
        <v>78.035609367947572</v>
      </c>
      <c r="N53" s="43">
        <f t="shared" si="58"/>
        <v>62.062689154668448</v>
      </c>
      <c r="O53" s="43">
        <f t="shared" si="58"/>
        <v>44.721359549995796</v>
      </c>
      <c r="P53" s="43">
        <f t="shared" si="58"/>
        <v>31.549951805696914</v>
      </c>
      <c r="Q53" s="43">
        <f t="shared" si="58"/>
        <v>23.830738319810393</v>
      </c>
      <c r="R53" s="43">
        <f t="shared" si="58"/>
        <v>21.263474902020587</v>
      </c>
      <c r="T53" s="43">
        <f>(M53+M56)/2</f>
        <v>84.456207293525807</v>
      </c>
      <c r="Z53" s="45">
        <v>215</v>
      </c>
      <c r="AA53" s="43">
        <f t="shared" si="42"/>
        <v>-81.915204428899173</v>
      </c>
      <c r="AB53" s="43">
        <f t="shared" si="43"/>
        <v>-57.357643635104615</v>
      </c>
      <c r="AC53" s="43">
        <f t="shared" si="44"/>
        <v>-32.766081771559669</v>
      </c>
      <c r="AD53" s="43">
        <f t="shared" si="45"/>
        <v>-22.943057454041845</v>
      </c>
      <c r="AE53" s="43">
        <f t="shared" si="11"/>
        <v>-51.80772419872676</v>
      </c>
      <c r="AF53" s="43">
        <f t="shared" si="12"/>
        <v>-36.276159021438076</v>
      </c>
      <c r="AG53" s="43">
        <f t="shared" si="46"/>
        <v>-94.202485093234046</v>
      </c>
      <c r="AH53" s="43">
        <f t="shared" si="47"/>
        <v>-65.961290180370298</v>
      </c>
      <c r="AW53" s="46">
        <v>44</v>
      </c>
      <c r="AX53" s="44">
        <v>-13.63</v>
      </c>
      <c r="AY53" s="43">
        <f t="shared" si="23"/>
        <v>323.75392405063275</v>
      </c>
      <c r="AZ53" s="45">
        <v>215</v>
      </c>
      <c r="BA53" s="43">
        <f t="shared" si="48"/>
        <v>53.855038758881633</v>
      </c>
      <c r="BB53" s="43">
        <f t="shared" si="49"/>
        <v>-7.5263748124040042</v>
      </c>
      <c r="BC53" s="43">
        <f t="shared" si="50"/>
        <v>43.66901292291886</v>
      </c>
      <c r="BD53" s="43">
        <f t="shared" si="51"/>
        <v>-1.1824897512526711</v>
      </c>
      <c r="BE53" s="43">
        <f t="shared" si="52"/>
        <v>36.878329032277023</v>
      </c>
      <c r="BF53" s="43">
        <f t="shared" si="53"/>
        <v>3.0467669561815427</v>
      </c>
    </row>
    <row r="54" spans="12:61" x14ac:dyDescent="0.2">
      <c r="L54" s="43">
        <f>L36</f>
        <v>53.158687247550539</v>
      </c>
      <c r="M54" s="44">
        <f t="shared" ref="M54:R54" si="59">M36</f>
        <v>53.040168318654523</v>
      </c>
      <c r="N54" s="43">
        <f t="shared" si="59"/>
        <v>50.479922889115024</v>
      </c>
      <c r="O54" s="43">
        <f t="shared" si="59"/>
        <v>44.721359549995803</v>
      </c>
      <c r="P54" s="43">
        <f t="shared" si="59"/>
        <v>38.789180721667776</v>
      </c>
      <c r="Q54" s="43">
        <f t="shared" si="59"/>
        <v>35.061091346885021</v>
      </c>
      <c r="R54" s="43">
        <f t="shared" si="59"/>
        <v>33.880151054656253</v>
      </c>
      <c r="T54" s="43">
        <f>(M54+M57)/2</f>
        <v>39.210849087682988</v>
      </c>
      <c r="Z54" s="45">
        <v>220</v>
      </c>
      <c r="AA54" s="43">
        <f t="shared" si="42"/>
        <v>-76.604444311897808</v>
      </c>
      <c r="AB54" s="43">
        <f t="shared" si="43"/>
        <v>-64.278760968653927</v>
      </c>
      <c r="AC54" s="43">
        <f t="shared" si="44"/>
        <v>-30.64177772475912</v>
      </c>
      <c r="AD54" s="43">
        <f t="shared" si="45"/>
        <v>-25.71150438746157</v>
      </c>
      <c r="AE54" s="43">
        <f t="shared" si="11"/>
        <v>-48.448904583425424</v>
      </c>
      <c r="AF54" s="43">
        <f t="shared" si="12"/>
        <v>-40.653457966895502</v>
      </c>
      <c r="AG54" s="43">
        <f t="shared" si="46"/>
        <v>-88.095110958682454</v>
      </c>
      <c r="AH54" s="43">
        <f t="shared" si="47"/>
        <v>-73.920575113952012</v>
      </c>
      <c r="AW54" s="46">
        <v>45</v>
      </c>
      <c r="AX54" s="44">
        <v>-13.3</v>
      </c>
      <c r="AY54" s="43">
        <f t="shared" si="23"/>
        <v>324.76075949367072</v>
      </c>
      <c r="AZ54" s="45">
        <v>220</v>
      </c>
      <c r="BA54" s="43">
        <f t="shared" si="48"/>
        <v>50.403648404106015</v>
      </c>
      <c r="BB54" s="43">
        <f t="shared" si="49"/>
        <v>-12.564217934202812</v>
      </c>
      <c r="BC54" s="43">
        <f t="shared" si="50"/>
        <v>40.809289486104774</v>
      </c>
      <c r="BD54" s="43">
        <f t="shared" si="51"/>
        <v>-5.3567026236002526</v>
      </c>
      <c r="BE54" s="43">
        <f t="shared" si="52"/>
        <v>34.413050207437294</v>
      </c>
      <c r="BF54" s="43">
        <f t="shared" si="53"/>
        <v>-0.5516924165318855</v>
      </c>
      <c r="BH54" s="43">
        <f>(BH14+BH16)/2</f>
        <v>-61.765451553696245</v>
      </c>
      <c r="BI54" s="43">
        <f>(BI14+BI16)/2</f>
        <v>41.16311267534951</v>
      </c>
    </row>
    <row r="55" spans="12:61" x14ac:dyDescent="0.2">
      <c r="Z55" s="45">
        <v>225</v>
      </c>
      <c r="AA55" s="43">
        <f t="shared" si="42"/>
        <v>-70.710678118654769</v>
      </c>
      <c r="AB55" s="43">
        <f t="shared" si="43"/>
        <v>-70.710678118654741</v>
      </c>
      <c r="AC55" s="43">
        <f t="shared" si="44"/>
        <v>-28.284271247461909</v>
      </c>
      <c r="AD55" s="43">
        <f t="shared" si="45"/>
        <v>-28.284271247461898</v>
      </c>
      <c r="AE55" s="43">
        <f t="shared" si="11"/>
        <v>-44.72135954999581</v>
      </c>
      <c r="AF55" s="43">
        <f t="shared" si="12"/>
        <v>-44.721359549995796</v>
      </c>
      <c r="AG55" s="43">
        <f t="shared" si="46"/>
        <v>-81.317279836452968</v>
      </c>
      <c r="AH55" s="43">
        <f t="shared" si="47"/>
        <v>-81.317279836452954</v>
      </c>
      <c r="AW55" s="46">
        <v>46</v>
      </c>
      <c r="AX55" s="44">
        <v>-12.97</v>
      </c>
      <c r="AY55" s="43">
        <f t="shared" si="23"/>
        <v>325.76759493670869</v>
      </c>
      <c r="AZ55" s="45">
        <v>225</v>
      </c>
      <c r="BA55" s="43">
        <f t="shared" si="48"/>
        <v>46.526314672506999</v>
      </c>
      <c r="BB55" s="43">
        <f t="shared" si="49"/>
        <v>-17.282082052074184</v>
      </c>
      <c r="BC55" s="43">
        <f t="shared" si="50"/>
        <v>37.596641537065594</v>
      </c>
      <c r="BD55" s="43">
        <f t="shared" si="51"/>
        <v>-9.2657900355508183</v>
      </c>
      <c r="BE55" s="43">
        <f t="shared" si="52"/>
        <v>31.643526113437993</v>
      </c>
      <c r="BF55" s="43">
        <f t="shared" si="53"/>
        <v>-3.9215953578685792</v>
      </c>
    </row>
    <row r="56" spans="12:61" x14ac:dyDescent="0.2">
      <c r="L56" s="43">
        <f>-L32</f>
        <v>97.508364765922877</v>
      </c>
      <c r="M56" s="44">
        <f t="shared" ref="M56:R56" si="60">-M32</f>
        <v>90.876805219104043</v>
      </c>
      <c r="N56" s="43">
        <f t="shared" si="60"/>
        <v>74.088014778283224</v>
      </c>
      <c r="O56" s="43">
        <f t="shared" si="60"/>
        <v>54.772255750516614</v>
      </c>
      <c r="P56" s="43">
        <f t="shared" si="60"/>
        <v>39.48910737738003</v>
      </c>
      <c r="Q56" s="43">
        <f t="shared" si="60"/>
        <v>30.291293848068083</v>
      </c>
      <c r="R56" s="43">
        <f t="shared" si="60"/>
        <v>27.186349660618902</v>
      </c>
      <c r="T56" s="43">
        <f>(M56+M59)/2</f>
        <v>92.551374834639049</v>
      </c>
      <c r="Z56" s="45">
        <v>230</v>
      </c>
      <c r="AA56" s="43">
        <f t="shared" si="42"/>
        <v>-64.278760968653941</v>
      </c>
      <c r="AB56" s="43">
        <f t="shared" si="43"/>
        <v>-76.604444311897794</v>
      </c>
      <c r="AC56" s="43">
        <f t="shared" si="44"/>
        <v>-25.711504387461581</v>
      </c>
      <c r="AD56" s="43">
        <f t="shared" si="45"/>
        <v>-30.641777724759116</v>
      </c>
      <c r="AE56" s="43">
        <f t="shared" si="11"/>
        <v>-40.653457966895516</v>
      </c>
      <c r="AF56" s="43">
        <f t="shared" si="12"/>
        <v>-48.448904583425417</v>
      </c>
      <c r="AG56" s="43">
        <f t="shared" si="46"/>
        <v>-73.920575113952026</v>
      </c>
      <c r="AH56" s="43">
        <f t="shared" si="47"/>
        <v>-88.095110958682454</v>
      </c>
      <c r="AW56" s="46">
        <v>47</v>
      </c>
      <c r="AX56" s="44">
        <v>-12.62</v>
      </c>
      <c r="AY56" s="43">
        <f t="shared" si="23"/>
        <v>326.77443037974666</v>
      </c>
      <c r="AZ56" s="45">
        <v>230</v>
      </c>
      <c r="BA56" s="43">
        <f t="shared" si="48"/>
        <v>42.252546414980166</v>
      </c>
      <c r="BB56" s="43">
        <f t="shared" si="49"/>
        <v>-21.644061371356866</v>
      </c>
      <c r="BC56" s="43">
        <f t="shared" si="50"/>
        <v>34.055519266543357</v>
      </c>
      <c r="BD56" s="43">
        <f t="shared" si="51"/>
        <v>-12.880001471527894</v>
      </c>
      <c r="BE56" s="43">
        <f t="shared" si="52"/>
        <v>28.590834500918831</v>
      </c>
      <c r="BF56" s="43">
        <f t="shared" si="53"/>
        <v>-7.0372948716419295</v>
      </c>
      <c r="BH56" s="43">
        <f>(BH19+BH17)/2</f>
        <v>-58.310232557753224</v>
      </c>
      <c r="BI56" s="43">
        <f>(BI19+BI17)/2</f>
        <v>3.6803170133531653</v>
      </c>
    </row>
    <row r="57" spans="12:61" x14ac:dyDescent="0.2">
      <c r="L57" s="43">
        <f>L33</f>
        <v>22.183750817288381</v>
      </c>
      <c r="M57" s="44">
        <f t="shared" ref="M57:R57" si="61">M33</f>
        <v>25.381529856711445</v>
      </c>
      <c r="N57" s="43">
        <f t="shared" si="61"/>
        <v>30.182214402076035</v>
      </c>
      <c r="O57" s="43">
        <f t="shared" si="61"/>
        <v>31.622776601683803</v>
      </c>
      <c r="P57" s="43">
        <f t="shared" si="61"/>
        <v>30.669372320570091</v>
      </c>
      <c r="Q57" s="43">
        <f t="shared" si="61"/>
        <v>29.658417562504706</v>
      </c>
      <c r="R57" s="43">
        <f t="shared" si="61"/>
        <v>29.341138228189973</v>
      </c>
      <c r="T57" s="43">
        <f>(M57+M60)/2</f>
        <v>10.226663815839107</v>
      </c>
      <c r="Z57" s="45">
        <v>235</v>
      </c>
      <c r="AA57" s="43">
        <f t="shared" si="42"/>
        <v>-57.357643635104637</v>
      </c>
      <c r="AB57" s="43">
        <f t="shared" si="43"/>
        <v>-81.915204428899159</v>
      </c>
      <c r="AC57" s="43">
        <f t="shared" si="44"/>
        <v>-22.943057454041856</v>
      </c>
      <c r="AD57" s="43">
        <f t="shared" si="45"/>
        <v>-32.766081771559662</v>
      </c>
      <c r="AE57" s="43">
        <f t="shared" si="11"/>
        <v>-36.27615902143809</v>
      </c>
      <c r="AF57" s="43">
        <f t="shared" si="12"/>
        <v>-51.807724198726746</v>
      </c>
      <c r="AG57" s="43">
        <f t="shared" si="46"/>
        <v>-65.961290180370327</v>
      </c>
      <c r="AH57" s="43">
        <f t="shared" si="47"/>
        <v>-94.202485093234017</v>
      </c>
      <c r="AW57" s="46">
        <v>48</v>
      </c>
      <c r="AX57" s="44">
        <v>-12.27</v>
      </c>
      <c r="AY57" s="43">
        <f t="shared" si="23"/>
        <v>327.78126582278463</v>
      </c>
      <c r="AZ57" s="45">
        <v>235</v>
      </c>
      <c r="BA57" s="43">
        <f t="shared" si="48"/>
        <v>37.614869588537132</v>
      </c>
      <c r="BB57" s="43">
        <f t="shared" si="49"/>
        <v>-25.616958595596007</v>
      </c>
      <c r="BC57" s="43">
        <f t="shared" si="50"/>
        <v>30.212872753204849</v>
      </c>
      <c r="BD57" s="43">
        <f t="shared" si="51"/>
        <v>-16.171830600183181</v>
      </c>
      <c r="BE57" s="43">
        <f t="shared" si="52"/>
        <v>25.278208196316662</v>
      </c>
      <c r="BF57" s="43">
        <f t="shared" si="53"/>
        <v>-9.8750786032413096</v>
      </c>
    </row>
    <row r="58" spans="12:61" x14ac:dyDescent="0.2">
      <c r="Z58" s="45">
        <v>240</v>
      </c>
      <c r="AA58" s="43">
        <f t="shared" si="42"/>
        <v>-50.000000000000043</v>
      </c>
      <c r="AB58" s="43">
        <f t="shared" si="43"/>
        <v>-86.602540378443834</v>
      </c>
      <c r="AC58" s="43">
        <f t="shared" si="44"/>
        <v>-20.000000000000018</v>
      </c>
      <c r="AD58" s="43">
        <f t="shared" si="45"/>
        <v>-34.641016151377535</v>
      </c>
      <c r="AE58" s="43">
        <f t="shared" si="11"/>
        <v>-31.622776601683825</v>
      </c>
      <c r="AF58" s="43">
        <f t="shared" si="12"/>
        <v>-54.772255750516599</v>
      </c>
      <c r="AG58" s="43">
        <f t="shared" si="46"/>
        <v>-57.500000000000043</v>
      </c>
      <c r="AH58" s="43">
        <f t="shared" si="47"/>
        <v>-99.5929214352104</v>
      </c>
      <c r="AW58" s="46">
        <v>49</v>
      </c>
      <c r="AX58" s="44">
        <v>-11.92</v>
      </c>
      <c r="AY58" s="43">
        <f t="shared" si="23"/>
        <v>328.7881012658226</v>
      </c>
      <c r="AZ58" s="45">
        <v>240</v>
      </c>
      <c r="BA58" s="43">
        <f t="shared" si="48"/>
        <v>32.64857971413295</v>
      </c>
      <c r="BB58" s="43">
        <f t="shared" si="49"/>
        <v>-29.170537578014201</v>
      </c>
      <c r="BC58" s="43">
        <f t="shared" si="50"/>
        <v>26.097946857269957</v>
      </c>
      <c r="BD58" s="43">
        <f t="shared" si="51"/>
        <v>-19.116224614186837</v>
      </c>
      <c r="BE58" s="43">
        <f t="shared" si="52"/>
        <v>21.730858286027964</v>
      </c>
      <c r="BF58" s="43">
        <f t="shared" si="53"/>
        <v>-12.413349304968602</v>
      </c>
      <c r="BH58" s="43">
        <f>(BH37+BH41)/2</f>
        <v>52.958196457913871</v>
      </c>
      <c r="BI58" s="43">
        <f>(BI37+BI41)/2</f>
        <v>24.679087952820296</v>
      </c>
    </row>
    <row r="59" spans="12:61" x14ac:dyDescent="0.2">
      <c r="L59" s="43">
        <f>-L29</f>
        <v>99.361372723341788</v>
      </c>
      <c r="M59" s="44">
        <f t="shared" ref="M59:R59" si="62">-M29</f>
        <v>94.225944450174055</v>
      </c>
      <c r="N59" s="43">
        <f t="shared" si="62"/>
        <v>79.669935551834541</v>
      </c>
      <c r="O59" s="43">
        <f t="shared" si="62"/>
        <v>61.090513237072074</v>
      </c>
      <c r="P59" s="43">
        <f t="shared" si="62"/>
        <v>45.391233461896938</v>
      </c>
      <c r="Q59" s="43">
        <f t="shared" si="62"/>
        <v>35.556373350074423</v>
      </c>
      <c r="R59" s="43">
        <f t="shared" si="62"/>
        <v>32.163087069199811</v>
      </c>
      <c r="T59" s="43">
        <f>(M59+M62)/2</f>
        <v>90.979577432616722</v>
      </c>
      <c r="Z59" s="45">
        <v>245</v>
      </c>
      <c r="AA59" s="43">
        <f t="shared" si="42"/>
        <v>-42.261826174069917</v>
      </c>
      <c r="AB59" s="43">
        <f t="shared" si="43"/>
        <v>-90.630778703665001</v>
      </c>
      <c r="AC59" s="43">
        <f t="shared" si="44"/>
        <v>-16.904730469627967</v>
      </c>
      <c r="AD59" s="43">
        <f t="shared" si="45"/>
        <v>-36.252311481466002</v>
      </c>
      <c r="AE59" s="43">
        <f t="shared" si="11"/>
        <v>-26.72872575763612</v>
      </c>
      <c r="AF59" s="43">
        <f t="shared" si="12"/>
        <v>-57.319937363652798</v>
      </c>
      <c r="AG59" s="43">
        <f t="shared" si="46"/>
        <v>-48.601100100180396</v>
      </c>
      <c r="AH59" s="43">
        <f t="shared" si="47"/>
        <v>-104.22539550921475</v>
      </c>
      <c r="AW59" s="46">
        <v>50</v>
      </c>
      <c r="AX59" s="44">
        <v>-11.57</v>
      </c>
      <c r="AY59" s="43">
        <f t="shared" si="23"/>
        <v>329.79493670886058</v>
      </c>
      <c r="AZ59" s="45">
        <v>245</v>
      </c>
      <c r="BA59" s="43">
        <f t="shared" si="48"/>
        <v>27.391473256439674</v>
      </c>
      <c r="BB59" s="43">
        <f t="shared" si="49"/>
        <v>-32.2777534368456</v>
      </c>
      <c r="BC59" s="43">
        <f t="shared" si="50"/>
        <v>21.742058649466955</v>
      </c>
      <c r="BD59" s="43">
        <f t="shared" si="51"/>
        <v>-21.690774897218564</v>
      </c>
      <c r="BE59" s="43">
        <f t="shared" si="52"/>
        <v>17.975782244818479</v>
      </c>
      <c r="BF59" s="43">
        <f t="shared" si="53"/>
        <v>-14.632789204133882</v>
      </c>
    </row>
    <row r="60" spans="12:61" x14ac:dyDescent="0.2">
      <c r="L60" s="43">
        <f>L30</f>
        <v>-11.283510543309047</v>
      </c>
      <c r="M60" s="44">
        <f t="shared" ref="M60:R60" si="63">M30</f>
        <v>-4.92820222503323</v>
      </c>
      <c r="N60" s="43">
        <f t="shared" si="63"/>
        <v>7.2595708665547063</v>
      </c>
      <c r="O60" s="43">
        <f t="shared" si="63"/>
        <v>16.36915368707627</v>
      </c>
      <c r="P60" s="43">
        <f t="shared" si="63"/>
        <v>20.967496865567149</v>
      </c>
      <c r="Q60" s="43">
        <f t="shared" si="63"/>
        <v>23.085244843666107</v>
      </c>
      <c r="R60" s="43">
        <f t="shared" si="63"/>
        <v>23.780997257774047</v>
      </c>
      <c r="T60" s="43">
        <f>(M60+M63)/2</f>
        <v>-19.825693601146689</v>
      </c>
      <c r="Z60" s="45">
        <v>250</v>
      </c>
      <c r="AA60" s="43">
        <f t="shared" si="42"/>
        <v>-34.202014332566854</v>
      </c>
      <c r="AB60" s="43">
        <f t="shared" si="43"/>
        <v>-93.969262078590845</v>
      </c>
      <c r="AC60" s="43">
        <f t="shared" si="44"/>
        <v>-13.680805733026741</v>
      </c>
      <c r="AD60" s="43">
        <f t="shared" si="45"/>
        <v>-37.587704831436341</v>
      </c>
      <c r="AE60" s="43">
        <f t="shared" si="11"/>
        <v>-21.631253171326978</v>
      </c>
      <c r="AF60" s="43">
        <f t="shared" si="12"/>
        <v>-59.431379642727101</v>
      </c>
      <c r="AG60" s="43">
        <f t="shared" si="46"/>
        <v>-39.33231648245188</v>
      </c>
      <c r="AH60" s="43">
        <f t="shared" si="47"/>
        <v>-108.06465139037945</v>
      </c>
      <c r="AW60" s="46">
        <v>51</v>
      </c>
      <c r="AX60" s="44">
        <v>-11.22</v>
      </c>
      <c r="AY60" s="43">
        <f t="shared" si="23"/>
        <v>330.80177215189855</v>
      </c>
      <c r="AZ60" s="45">
        <v>250</v>
      </c>
      <c r="BA60" s="43">
        <f t="shared" si="48"/>
        <v>21.883559969927983</v>
      </c>
      <c r="BB60" s="43">
        <f t="shared" si="49"/>
        <v>-34.914958383216273</v>
      </c>
      <c r="BC60" s="43">
        <f t="shared" si="50"/>
        <v>17.178359069214409</v>
      </c>
      <c r="BD60" s="43">
        <f t="shared" si="51"/>
        <v>-23.875887567068542</v>
      </c>
      <c r="BE60" s="43">
        <f t="shared" si="52"/>
        <v>14.0415584687387</v>
      </c>
      <c r="BF60" s="43">
        <f t="shared" si="53"/>
        <v>-16.516507022970071</v>
      </c>
      <c r="BH60" s="43">
        <f>(BH40+BH44)/2</f>
        <v>42.514673697652441</v>
      </c>
      <c r="BI60" s="43">
        <f>(BI40+BI44)/2</f>
        <v>60.843038805911526</v>
      </c>
    </row>
    <row r="61" spans="12:61" x14ac:dyDescent="0.2">
      <c r="Z61" s="45">
        <v>255</v>
      </c>
      <c r="AA61" s="43">
        <f t="shared" si="42"/>
        <v>-25.881904510252063</v>
      </c>
      <c r="AB61" s="43">
        <f t="shared" si="43"/>
        <v>-96.592582628906825</v>
      </c>
      <c r="AC61" s="43">
        <f t="shared" si="44"/>
        <v>-10.352761804100826</v>
      </c>
      <c r="AD61" s="43">
        <f t="shared" si="45"/>
        <v>-38.637033051562732</v>
      </c>
      <c r="AE61" s="43">
        <f t="shared" si="11"/>
        <v>-16.369153687076263</v>
      </c>
      <c r="AF61" s="43">
        <f t="shared" si="12"/>
        <v>-61.090513237072074</v>
      </c>
      <c r="AG61" s="43">
        <f t="shared" si="46"/>
        <v>-29.764190186789868</v>
      </c>
      <c r="AH61" s="43">
        <f t="shared" si="47"/>
        <v>-111.08147002324284</v>
      </c>
      <c r="AW61" s="46">
        <v>52</v>
      </c>
      <c r="AX61" s="44">
        <v>-10.87</v>
      </c>
      <c r="AY61" s="43">
        <f t="shared" si="23"/>
        <v>331.80860759493652</v>
      </c>
      <c r="AZ61" s="45">
        <v>255</v>
      </c>
      <c r="BA61" s="43">
        <f t="shared" si="48"/>
        <v>16.166758400477242</v>
      </c>
      <c r="BB61" s="43">
        <f t="shared" si="49"/>
        <v>-37.062081695096424</v>
      </c>
      <c r="BC61" s="43">
        <f t="shared" si="50"/>
        <v>12.441580625955226</v>
      </c>
      <c r="BD61" s="43">
        <f t="shared" si="51"/>
        <v>-25.654932596912094</v>
      </c>
      <c r="BE61" s="43">
        <f t="shared" si="52"/>
        <v>9.9581287762738846</v>
      </c>
      <c r="BF61" s="43">
        <f t="shared" si="53"/>
        <v>-18.05016653145589</v>
      </c>
    </row>
    <row r="62" spans="12:61" x14ac:dyDescent="0.2">
      <c r="L62" s="43">
        <f>-L26</f>
        <v>90.051217679591176</v>
      </c>
      <c r="M62" s="44">
        <f t="shared" ref="M62:R62" si="64">-M26</f>
        <v>87.733210415059389</v>
      </c>
      <c r="N62" s="43">
        <f t="shared" si="64"/>
        <v>78.322994070469477</v>
      </c>
      <c r="O62" s="43">
        <f t="shared" si="64"/>
        <v>63.245553203367592</v>
      </c>
      <c r="P62" s="43">
        <f t="shared" si="64"/>
        <v>48.951871294043436</v>
      </c>
      <c r="Q62" s="43">
        <f t="shared" si="64"/>
        <v>39.418185228926141</v>
      </c>
      <c r="R62" s="43">
        <f t="shared" si="64"/>
        <v>36.020487076919117</v>
      </c>
      <c r="Z62" s="45">
        <v>260</v>
      </c>
      <c r="AA62" s="43">
        <f t="shared" si="42"/>
        <v>-17.364817766693033</v>
      </c>
      <c r="AB62" s="43">
        <f t="shared" si="43"/>
        <v>-98.480775301220802</v>
      </c>
      <c r="AC62" s="43">
        <f t="shared" si="44"/>
        <v>-6.945927106677213</v>
      </c>
      <c r="AD62" s="43">
        <f t="shared" si="45"/>
        <v>-39.392310120488318</v>
      </c>
      <c r="AE62" s="43">
        <f t="shared" si="11"/>
        <v>-10.98247505930167</v>
      </c>
      <c r="AF62" s="43">
        <f t="shared" si="12"/>
        <v>-62.284711138222491</v>
      </c>
      <c r="AG62" s="43">
        <f t="shared" si="46"/>
        <v>-19.969540431696984</v>
      </c>
      <c r="AH62" s="43">
        <f t="shared" si="47"/>
        <v>-113.25289159640391</v>
      </c>
      <c r="AW62" s="46">
        <v>53</v>
      </c>
      <c r="AX62" s="44">
        <v>-10.5</v>
      </c>
      <c r="AY62" s="43">
        <f t="shared" si="23"/>
        <v>332.81544303797449</v>
      </c>
      <c r="AZ62" s="45">
        <v>260</v>
      </c>
      <c r="BA62" s="43">
        <f t="shared" si="48"/>
        <v>10.284576859930096</v>
      </c>
      <c r="BB62" s="43">
        <f t="shared" si="49"/>
        <v>-38.702782467614171</v>
      </c>
      <c r="BC62" s="43">
        <f t="shared" si="50"/>
        <v>7.5677730637875911</v>
      </c>
      <c r="BD62" s="43">
        <f t="shared" si="51"/>
        <v>-27.014370379855368</v>
      </c>
      <c r="BE62" s="43">
        <f t="shared" si="52"/>
        <v>5.7565705330259238</v>
      </c>
      <c r="BF62" s="43">
        <f t="shared" si="53"/>
        <v>-19.222095654682857</v>
      </c>
      <c r="BH62" s="43">
        <f>(BH20+BH22)/2</f>
        <v>-38.610062889155699</v>
      </c>
      <c r="BI62" s="43">
        <f>(BI20+BI22)/2</f>
        <v>-20.007209887435117</v>
      </c>
    </row>
    <row r="63" spans="12:61" x14ac:dyDescent="0.2">
      <c r="L63" s="43">
        <f>L27</f>
        <v>-43.483079399586003</v>
      </c>
      <c r="M63" s="44">
        <f t="shared" ref="M63:R63" si="65">M27</f>
        <v>-34.723184977260146</v>
      </c>
      <c r="N63" s="43">
        <f t="shared" si="65"/>
        <v>-16.294434627725018</v>
      </c>
      <c r="O63" s="43">
        <f t="shared" si="65"/>
        <v>3.8742595893473368E-15</v>
      </c>
      <c r="P63" s="43">
        <f t="shared" si="65"/>
        <v>10.184021642328101</v>
      </c>
      <c r="Q63" s="43">
        <f t="shared" si="65"/>
        <v>15.600989986534964</v>
      </c>
      <c r="R63" s="43">
        <f t="shared" si="65"/>
        <v>17.393231762288668</v>
      </c>
      <c r="Z63" s="45">
        <v>265</v>
      </c>
      <c r="AA63" s="43">
        <f t="shared" si="42"/>
        <v>-8.7155742747658245</v>
      </c>
      <c r="AB63" s="43">
        <f t="shared" si="43"/>
        <v>-99.619469809174561</v>
      </c>
      <c r="AC63" s="43">
        <f t="shared" si="44"/>
        <v>-3.48622970990633</v>
      </c>
      <c r="AD63" s="43">
        <f t="shared" si="45"/>
        <v>-39.84778792366982</v>
      </c>
      <c r="AE63" s="43">
        <f t="shared" si="11"/>
        <v>-5.5122131649260391</v>
      </c>
      <c r="AF63" s="43">
        <f t="shared" si="12"/>
        <v>-63.00488477907421</v>
      </c>
      <c r="AG63" s="43">
        <f t="shared" si="46"/>
        <v>-10.022910415980697</v>
      </c>
      <c r="AH63" s="43">
        <f t="shared" si="47"/>
        <v>-114.56239028055073</v>
      </c>
      <c r="AW63" s="46">
        <v>54</v>
      </c>
      <c r="AX63" s="44">
        <v>-10.130000000000001</v>
      </c>
      <c r="AY63" s="43">
        <f t="shared" si="23"/>
        <v>333.82227848101246</v>
      </c>
      <c r="AZ63" s="45">
        <v>265</v>
      </c>
      <c r="BA63" s="43">
        <f t="shared" si="48"/>
        <v>4.2817823015684713</v>
      </c>
      <c r="BB63" s="43">
        <f t="shared" si="49"/>
        <v>-39.824573977208416</v>
      </c>
      <c r="BC63" s="43">
        <f t="shared" si="50"/>
        <v>2.5940290011451026</v>
      </c>
      <c r="BD63" s="43">
        <f t="shared" si="51"/>
        <v>-27.943854773519181</v>
      </c>
      <c r="BE63" s="43">
        <f t="shared" si="52"/>
        <v>1.4688601341961931</v>
      </c>
      <c r="BF63" s="43">
        <f t="shared" si="53"/>
        <v>-20.023375304393031</v>
      </c>
    </row>
    <row r="64" spans="12:61" x14ac:dyDescent="0.2">
      <c r="Z64" s="45">
        <v>270</v>
      </c>
      <c r="AA64" s="43">
        <f t="shared" si="42"/>
        <v>-1.83772268236293E-14</v>
      </c>
      <c r="AB64" s="43">
        <f t="shared" si="43"/>
        <v>-100</v>
      </c>
      <c r="AC64" s="43">
        <f t="shared" si="44"/>
        <v>-7.3508907294517201E-15</v>
      </c>
      <c r="AD64" s="43">
        <f t="shared" si="45"/>
        <v>-40</v>
      </c>
      <c r="AE64" s="43">
        <f t="shared" si="11"/>
        <v>-1.1622778768042009E-14</v>
      </c>
      <c r="AF64" s="43">
        <f t="shared" si="12"/>
        <v>-63.245553203367592</v>
      </c>
      <c r="AG64" s="43">
        <f t="shared" si="46"/>
        <v>-2.1133810847173692E-14</v>
      </c>
      <c r="AH64" s="43">
        <f t="shared" si="47"/>
        <v>-114.99999999999999</v>
      </c>
      <c r="AW64" s="46">
        <v>55</v>
      </c>
      <c r="AX64" s="44">
        <v>-9.77</v>
      </c>
      <c r="AY64" s="43">
        <f t="shared" si="23"/>
        <v>334.82911392405043</v>
      </c>
      <c r="AZ64" s="45">
        <v>270</v>
      </c>
      <c r="BA64" s="43">
        <f t="shared" si="48"/>
        <v>-1.7959403834320797</v>
      </c>
      <c r="BB64" s="43">
        <f t="shared" si="49"/>
        <v>-40.418918713134957</v>
      </c>
      <c r="BC64" s="43">
        <f t="shared" si="50"/>
        <v>-2.4417983664267813</v>
      </c>
      <c r="BD64" s="43">
        <f t="shared" si="51"/>
        <v>-28.436311840429735</v>
      </c>
      <c r="BE64" s="43">
        <f t="shared" si="52"/>
        <v>-2.8723703550899153</v>
      </c>
      <c r="BF64" s="43">
        <f t="shared" si="53"/>
        <v>-20.44790725862627</v>
      </c>
      <c r="BH64" s="43">
        <f>(BH38+BH34)/2</f>
        <v>43.246267292684436</v>
      </c>
      <c r="BI64" s="43">
        <f>(BI38+BI34)/2</f>
        <v>-4.5591412606027522</v>
      </c>
    </row>
    <row r="65" spans="13:61" x14ac:dyDescent="0.2">
      <c r="Z65" s="45">
        <v>275</v>
      </c>
      <c r="AA65" s="43">
        <f t="shared" si="42"/>
        <v>8.7155742747657889</v>
      </c>
      <c r="AB65" s="43">
        <f t="shared" si="43"/>
        <v>-99.619469809174561</v>
      </c>
      <c r="AC65" s="43">
        <f t="shared" si="44"/>
        <v>3.4862297099063158</v>
      </c>
      <c r="AD65" s="43">
        <f t="shared" si="45"/>
        <v>-39.84778792366982</v>
      </c>
      <c r="AE65" s="43">
        <f t="shared" si="11"/>
        <v>5.512213164926016</v>
      </c>
      <c r="AF65" s="43">
        <f t="shared" si="12"/>
        <v>-63.00488477907421</v>
      </c>
      <c r="AG65" s="43">
        <f t="shared" si="46"/>
        <v>10.022910415980656</v>
      </c>
      <c r="AH65" s="43">
        <f t="shared" si="47"/>
        <v>-114.56239028055073</v>
      </c>
      <c r="AW65" s="46">
        <v>56</v>
      </c>
      <c r="AX65" s="44">
        <v>-9.4499999999999993</v>
      </c>
      <c r="AY65" s="43">
        <f t="shared" si="23"/>
        <v>335.8359493670884</v>
      </c>
      <c r="AZ65" s="45">
        <v>275</v>
      </c>
      <c r="BA65" s="43">
        <f t="shared" si="48"/>
        <v>-7.9023360556093785</v>
      </c>
      <c r="BB65" s="43">
        <f t="shared" si="49"/>
        <v>-40.481293353078172</v>
      </c>
      <c r="BC65" s="43">
        <f t="shared" si="50"/>
        <v>-7.5013833519451136</v>
      </c>
      <c r="BD65" s="43">
        <f t="shared" si="51"/>
        <v>-28.487993684954123</v>
      </c>
      <c r="BE65" s="43">
        <f t="shared" si="52"/>
        <v>-7.2340815495022719</v>
      </c>
      <c r="BF65" s="43">
        <f t="shared" si="53"/>
        <v>-20.492460572871433</v>
      </c>
    </row>
    <row r="66" spans="13:61" x14ac:dyDescent="0.2">
      <c r="M66" s="43"/>
      <c r="Z66" s="45">
        <v>280</v>
      </c>
      <c r="AA66" s="43">
        <f t="shared" si="42"/>
        <v>17.364817766692997</v>
      </c>
      <c r="AB66" s="43">
        <f t="shared" si="43"/>
        <v>-98.480775301220817</v>
      </c>
      <c r="AC66" s="43">
        <f t="shared" si="44"/>
        <v>6.9459271066771988</v>
      </c>
      <c r="AD66" s="43">
        <f t="shared" si="45"/>
        <v>-39.392310120488325</v>
      </c>
      <c r="AE66" s="43">
        <f t="shared" si="11"/>
        <v>10.982475059301647</v>
      </c>
      <c r="AF66" s="43">
        <f t="shared" si="12"/>
        <v>-62.284711138222498</v>
      </c>
      <c r="AG66" s="43">
        <f t="shared" si="46"/>
        <v>19.969540431696945</v>
      </c>
      <c r="AH66" s="43">
        <f t="shared" si="47"/>
        <v>-113.25289159640393</v>
      </c>
      <c r="AW66" s="46">
        <v>57</v>
      </c>
      <c r="AX66" s="44">
        <v>-9.08</v>
      </c>
      <c r="AY66" s="43">
        <f t="shared" si="23"/>
        <v>336.84278481012637</v>
      </c>
      <c r="AZ66" s="45">
        <v>280</v>
      </c>
      <c r="BA66" s="43">
        <f t="shared" si="48"/>
        <v>-13.99093135675567</v>
      </c>
      <c r="BB66" s="43">
        <f t="shared" si="49"/>
        <v>-40.011223188365307</v>
      </c>
      <c r="BC66" s="43">
        <f t="shared" si="50"/>
        <v>-12.546219458609183</v>
      </c>
      <c r="BD66" s="43">
        <f t="shared" si="51"/>
        <v>-28.098506977049173</v>
      </c>
      <c r="BE66" s="43">
        <f t="shared" si="52"/>
        <v>-11.583078193178196</v>
      </c>
      <c r="BF66" s="43">
        <f t="shared" si="53"/>
        <v>-20.1566961695051</v>
      </c>
      <c r="BH66" s="43">
        <f>(BH23+BH25)/2</f>
        <v>-17.519987876599934</v>
      </c>
      <c r="BI66" s="43">
        <f>(BI23+BI25)/2</f>
        <v>-29.039571763462881</v>
      </c>
    </row>
    <row r="67" spans="13:61" x14ac:dyDescent="0.2">
      <c r="M67" s="43"/>
      <c r="Z67" s="45">
        <v>285</v>
      </c>
      <c r="AA67" s="43">
        <f t="shared" si="42"/>
        <v>25.881904510252028</v>
      </c>
      <c r="AB67" s="43">
        <f t="shared" si="43"/>
        <v>-96.59258262890684</v>
      </c>
      <c r="AC67" s="43">
        <f t="shared" si="44"/>
        <v>10.352761804100812</v>
      </c>
      <c r="AD67" s="43">
        <f t="shared" si="45"/>
        <v>-38.637033051562739</v>
      </c>
      <c r="AE67" s="43">
        <f t="shared" si="11"/>
        <v>16.369153687076246</v>
      </c>
      <c r="AF67" s="43">
        <f t="shared" si="12"/>
        <v>-61.090513237072081</v>
      </c>
      <c r="AG67" s="43">
        <f t="shared" si="46"/>
        <v>29.764190186789829</v>
      </c>
      <c r="AH67" s="43">
        <f t="shared" si="47"/>
        <v>-111.08147002324286</v>
      </c>
      <c r="AW67" s="46">
        <v>58</v>
      </c>
      <c r="AX67" s="44">
        <v>-8.75</v>
      </c>
      <c r="AY67" s="43">
        <f t="shared" si="23"/>
        <v>337.84962025316435</v>
      </c>
      <c r="AZ67" s="45">
        <v>285</v>
      </c>
      <c r="BA67" s="43">
        <f t="shared" si="48"/>
        <v>-20.015388400234841</v>
      </c>
      <c r="BB67" s="43">
        <f t="shared" si="49"/>
        <v>-39.012285736785927</v>
      </c>
      <c r="BC67" s="43">
        <f t="shared" si="50"/>
        <v>-17.537912437491926</v>
      </c>
      <c r="BD67" s="43">
        <f t="shared" si="51"/>
        <v>-27.270815945740541</v>
      </c>
      <c r="BE67" s="43">
        <f t="shared" si="52"/>
        <v>-15.886261795663316</v>
      </c>
      <c r="BF67" s="43">
        <f t="shared" si="53"/>
        <v>-19.443169418376964</v>
      </c>
    </row>
    <row r="68" spans="13:61" x14ac:dyDescent="0.2">
      <c r="Z68" s="45">
        <v>290</v>
      </c>
      <c r="AA68" s="43">
        <f t="shared" si="42"/>
        <v>34.202014332566897</v>
      </c>
      <c r="AB68" s="43">
        <f t="shared" si="43"/>
        <v>-93.96926207859083</v>
      </c>
      <c r="AC68" s="43">
        <f t="shared" si="44"/>
        <v>13.680805733026759</v>
      </c>
      <c r="AD68" s="43">
        <f t="shared" si="45"/>
        <v>-37.587704831436334</v>
      </c>
      <c r="AE68" s="43">
        <f t="shared" si="11"/>
        <v>21.631253171327007</v>
      </c>
      <c r="AF68" s="43">
        <f t="shared" si="12"/>
        <v>-59.431379642727094</v>
      </c>
      <c r="AG68" s="43">
        <f t="shared" si="46"/>
        <v>39.33231648245193</v>
      </c>
      <c r="AH68" s="43">
        <f t="shared" si="47"/>
        <v>-108.06465139037944</v>
      </c>
      <c r="AW68" s="46">
        <v>59</v>
      </c>
      <c r="AX68" s="44">
        <v>-8.35</v>
      </c>
      <c r="AY68" s="43">
        <f t="shared" si="23"/>
        <v>338.85645569620232</v>
      </c>
      <c r="AZ68" s="45">
        <v>290</v>
      </c>
      <c r="BA68" s="43">
        <f t="shared" si="48"/>
        <v>-25.929857430279426</v>
      </c>
      <c r="BB68" s="43">
        <f t="shared" si="49"/>
        <v>-37.492083515521472</v>
      </c>
      <c r="BC68" s="43">
        <f t="shared" si="50"/>
        <v>-22.438472490957437</v>
      </c>
      <c r="BD68" s="43">
        <f t="shared" si="51"/>
        <v>-26.011219819549996</v>
      </c>
      <c r="BE68" s="43">
        <f t="shared" si="52"/>
        <v>-20.110882531409448</v>
      </c>
      <c r="BF68" s="43">
        <f t="shared" si="53"/>
        <v>-18.357310688902356</v>
      </c>
      <c r="BH68" s="43">
        <f>(BH28+BH26)/2</f>
        <v>0.11792751864921724</v>
      </c>
      <c r="BI68" s="43">
        <f>(BI28+BI26)/2</f>
        <v>-29.900167033372469</v>
      </c>
    </row>
    <row r="69" spans="13:61" x14ac:dyDescent="0.2">
      <c r="Z69" s="45">
        <v>295</v>
      </c>
      <c r="AA69" s="43">
        <f t="shared" si="42"/>
        <v>42.261826174069959</v>
      </c>
      <c r="AB69" s="43">
        <f t="shared" si="43"/>
        <v>-90.630778703664987</v>
      </c>
      <c r="AC69" s="43">
        <f t="shared" si="44"/>
        <v>16.904730469627985</v>
      </c>
      <c r="AD69" s="43">
        <f t="shared" si="45"/>
        <v>-36.252311481465995</v>
      </c>
      <c r="AE69" s="43">
        <f t="shared" si="11"/>
        <v>26.728725757636148</v>
      </c>
      <c r="AF69" s="43">
        <f t="shared" si="12"/>
        <v>-57.319937363652791</v>
      </c>
      <c r="AG69" s="43">
        <f t="shared" si="46"/>
        <v>48.601100100180446</v>
      </c>
      <c r="AH69" s="43">
        <f t="shared" si="47"/>
        <v>-104.22539550921474</v>
      </c>
      <c r="AW69" s="46">
        <v>60</v>
      </c>
      <c r="AX69" s="44">
        <v>-8.0500000000000007</v>
      </c>
      <c r="AY69" s="43">
        <f t="shared" si="23"/>
        <v>339.86329113924029</v>
      </c>
      <c r="AZ69" s="45">
        <v>295</v>
      </c>
      <c r="BA69" s="43">
        <f t="shared" si="48"/>
        <v>-31.68932576631671</v>
      </c>
      <c r="BB69" s="43">
        <f t="shared" si="49"/>
        <v>-35.462186181398977</v>
      </c>
      <c r="BC69" s="43">
        <f t="shared" si="50"/>
        <v>-27.210603397959758</v>
      </c>
      <c r="BD69" s="43">
        <f t="shared" si="51"/>
        <v>-24.329304885562788</v>
      </c>
      <c r="BE69" s="43">
        <f t="shared" si="52"/>
        <v>-24.224788485721795</v>
      </c>
      <c r="BF69" s="43">
        <f t="shared" si="53"/>
        <v>-16.907384021672005</v>
      </c>
    </row>
    <row r="70" spans="13:61" x14ac:dyDescent="0.2">
      <c r="Z70" s="45">
        <v>300</v>
      </c>
      <c r="AA70" s="43">
        <f t="shared" si="42"/>
        <v>50.000000000000014</v>
      </c>
      <c r="AB70" s="43">
        <f t="shared" si="43"/>
        <v>-86.602540378443862</v>
      </c>
      <c r="AC70" s="43">
        <f t="shared" si="44"/>
        <v>20.000000000000004</v>
      </c>
      <c r="AD70" s="43">
        <f t="shared" si="45"/>
        <v>-34.641016151377542</v>
      </c>
      <c r="AE70" s="43">
        <f t="shared" si="11"/>
        <v>31.622776601683803</v>
      </c>
      <c r="AF70" s="43">
        <f t="shared" si="12"/>
        <v>-54.772255750516614</v>
      </c>
      <c r="AG70" s="43">
        <f t="shared" si="46"/>
        <v>57.500000000000007</v>
      </c>
      <c r="AH70" s="43">
        <f t="shared" si="47"/>
        <v>-99.592921435210428</v>
      </c>
      <c r="AW70" s="46">
        <v>61</v>
      </c>
      <c r="AX70" s="44">
        <v>-7.65</v>
      </c>
      <c r="AY70" s="43">
        <f t="shared" si="23"/>
        <v>340.87012658227826</v>
      </c>
      <c r="AZ70" s="45">
        <v>300</v>
      </c>
      <c r="BA70" s="43">
        <f t="shared" si="48"/>
        <v>-37.249960376647401</v>
      </c>
      <c r="BB70" s="43">
        <f t="shared" si="49"/>
        <v>-32.938042478816641</v>
      </c>
      <c r="BC70" s="43">
        <f t="shared" si="50"/>
        <v>-31.81798636080519</v>
      </c>
      <c r="BD70" s="43">
        <f t="shared" si="51"/>
        <v>-22.237871531994561</v>
      </c>
      <c r="BE70" s="43">
        <f t="shared" si="52"/>
        <v>-28.196670350243718</v>
      </c>
      <c r="BF70" s="43">
        <f t="shared" si="53"/>
        <v>-15.104424234113193</v>
      </c>
      <c r="BH70" s="43">
        <f>(BH29+BH31)/2</f>
        <v>15.673181227569568</v>
      </c>
      <c r="BI70" s="43">
        <f>(BI29+BI31)/2</f>
        <v>-25.899486638726749</v>
      </c>
    </row>
    <row r="71" spans="13:61" x14ac:dyDescent="0.2">
      <c r="Z71" s="45">
        <v>305</v>
      </c>
      <c r="AA71" s="43">
        <f t="shared" si="42"/>
        <v>57.357643635104608</v>
      </c>
      <c r="AB71" s="43">
        <f t="shared" si="43"/>
        <v>-81.915204428899173</v>
      </c>
      <c r="AC71" s="43">
        <f t="shared" si="44"/>
        <v>22.943057454041842</v>
      </c>
      <c r="AD71" s="43">
        <f t="shared" si="45"/>
        <v>-32.766081771559669</v>
      </c>
      <c r="AE71" s="43">
        <f t="shared" si="11"/>
        <v>36.276159021438069</v>
      </c>
      <c r="AF71" s="43">
        <f t="shared" si="12"/>
        <v>-51.80772419872676</v>
      </c>
      <c r="AG71" s="43">
        <f t="shared" si="46"/>
        <v>65.961290180370284</v>
      </c>
      <c r="AH71" s="43">
        <f t="shared" si="47"/>
        <v>-94.202485093234046</v>
      </c>
      <c r="AW71" s="46">
        <v>62</v>
      </c>
      <c r="AX71" s="44">
        <v>-7.3</v>
      </c>
      <c r="AY71" s="43">
        <f t="shared" si="23"/>
        <v>341.87696202531623</v>
      </c>
      <c r="AZ71" s="45">
        <v>305</v>
      </c>
      <c r="BA71" s="43">
        <f t="shared" si="48"/>
        <v>-42.569441474283913</v>
      </c>
      <c r="BB71" s="43">
        <f t="shared" si="49"/>
        <v>-29.938862665470733</v>
      </c>
      <c r="BC71" s="43">
        <f t="shared" si="50"/>
        <v>-36.22555641313258</v>
      </c>
      <c r="BD71" s="43">
        <f t="shared" si="51"/>
        <v>-19.752836829507959</v>
      </c>
      <c r="BE71" s="43">
        <f t="shared" si="52"/>
        <v>-31.99629970569837</v>
      </c>
      <c r="BF71" s="43">
        <f t="shared" si="53"/>
        <v>-12.962152938866122</v>
      </c>
    </row>
    <row r="72" spans="13:61" x14ac:dyDescent="0.2">
      <c r="Z72" s="45">
        <v>310</v>
      </c>
      <c r="AA72" s="43">
        <f t="shared" si="42"/>
        <v>64.278760968653927</v>
      </c>
      <c r="AB72" s="43">
        <f t="shared" si="43"/>
        <v>-76.604444311897808</v>
      </c>
      <c r="AC72" s="43">
        <f t="shared" si="44"/>
        <v>25.71150438746157</v>
      </c>
      <c r="AD72" s="43">
        <f t="shared" si="45"/>
        <v>-30.641777724759123</v>
      </c>
      <c r="AE72" s="43">
        <f t="shared" si="11"/>
        <v>40.653457966895502</v>
      </c>
      <c r="AF72" s="43">
        <f t="shared" si="12"/>
        <v>-48.448904583425431</v>
      </c>
      <c r="AG72" s="43">
        <f t="shared" si="46"/>
        <v>73.920575113952012</v>
      </c>
      <c r="AH72" s="43">
        <f t="shared" si="47"/>
        <v>-88.095110958682469</v>
      </c>
      <c r="AW72" s="46">
        <v>63</v>
      </c>
      <c r="AX72" s="44">
        <f>-6.95</f>
        <v>-6.95</v>
      </c>
      <c r="AY72" s="43">
        <f t="shared" si="23"/>
        <v>342.8837974683542</v>
      </c>
      <c r="AZ72" s="45">
        <v>310</v>
      </c>
      <c r="BA72" s="43">
        <f t="shared" si="48"/>
        <v>-47.607284596082742</v>
      </c>
      <c r="BB72" s="43">
        <f t="shared" si="49"/>
        <v>-26.487472310695093</v>
      </c>
      <c r="BC72" s="43">
        <f t="shared" si="50"/>
        <v>-40.399769285480183</v>
      </c>
      <c r="BD72" s="43">
        <f t="shared" si="51"/>
        <v>-16.893113392693852</v>
      </c>
      <c r="BE72" s="43">
        <f t="shared" si="52"/>
        <v>-35.594759078411812</v>
      </c>
      <c r="BF72" s="43">
        <f t="shared" si="53"/>
        <v>-10.496874114026372</v>
      </c>
      <c r="BH72" s="43">
        <f>(BH31+BH35)/2</f>
        <v>26.898770828442018</v>
      </c>
      <c r="BI72" s="43">
        <f>(BI31+BI35)/2</f>
        <v>-20.656786568110626</v>
      </c>
    </row>
    <row r="73" spans="13:61" x14ac:dyDescent="0.2">
      <c r="Z73" s="45">
        <v>315</v>
      </c>
      <c r="AA73" s="43">
        <f t="shared" si="42"/>
        <v>70.710678118654741</v>
      </c>
      <c r="AB73" s="43">
        <f t="shared" si="43"/>
        <v>-70.710678118654769</v>
      </c>
      <c r="AC73" s="43">
        <f t="shared" si="44"/>
        <v>28.284271247461895</v>
      </c>
      <c r="AD73" s="43">
        <f t="shared" si="45"/>
        <v>-28.284271247461909</v>
      </c>
      <c r="AE73" s="43">
        <f t="shared" si="11"/>
        <v>44.721359549995789</v>
      </c>
      <c r="AF73" s="43">
        <f t="shared" si="12"/>
        <v>-44.72135954999581</v>
      </c>
      <c r="AG73" s="43">
        <f t="shared" si="46"/>
        <v>81.31727983645294</v>
      </c>
      <c r="AH73" s="43">
        <f t="shared" si="47"/>
        <v>-81.317279836452968</v>
      </c>
      <c r="AW73" s="46">
        <v>64</v>
      </c>
      <c r="AX73" s="44">
        <v>-6.55</v>
      </c>
      <c r="AY73" s="43">
        <f t="shared" si="23"/>
        <v>343.89063291139217</v>
      </c>
      <c r="AZ73" s="45">
        <v>315</v>
      </c>
      <c r="BA73" s="43">
        <f t="shared" si="48"/>
        <v>-52.325148713954107</v>
      </c>
      <c r="BB73" s="43">
        <f t="shared" si="49"/>
        <v>-22.610138579096084</v>
      </c>
      <c r="BC73" s="43">
        <f t="shared" si="50"/>
        <v>-44.308856697430741</v>
      </c>
      <c r="BD73" s="43">
        <f t="shared" si="51"/>
        <v>-13.680465443654679</v>
      </c>
      <c r="BE73" s="43">
        <f t="shared" si="52"/>
        <v>-38.964662019748502</v>
      </c>
      <c r="BF73" s="43">
        <f t="shared" si="53"/>
        <v>-7.7273500200270782</v>
      </c>
    </row>
    <row r="74" spans="13:61" x14ac:dyDescent="0.2">
      <c r="Z74" s="45">
        <v>320</v>
      </c>
      <c r="AA74" s="43">
        <f t="shared" ref="AA74:AA82" si="66">$C$5*COS(RADIANS(Z74))</f>
        <v>76.60444431189778</v>
      </c>
      <c r="AB74" s="43">
        <f t="shared" ref="AB74:AB82" si="67">$C$5*SIN(RADIANS(Z74))</f>
        <v>-64.278760968653955</v>
      </c>
      <c r="AC74" s="43">
        <f t="shared" ref="AC74:AC82" si="68">$C$6*COS(RADIANS(Z74))</f>
        <v>30.641777724759113</v>
      </c>
      <c r="AD74" s="43">
        <f t="shared" ref="AD74:AD82" si="69">$C$6*SIN(RADIANS(Z74))</f>
        <v>-25.711504387461584</v>
      </c>
      <c r="AE74" s="43">
        <f t="shared" si="11"/>
        <v>48.44890458342541</v>
      </c>
      <c r="AF74" s="43">
        <f t="shared" si="12"/>
        <v>-40.653457966895523</v>
      </c>
      <c r="AG74" s="43">
        <f t="shared" ref="AG74:AG82" si="70">1.15*$C$5*COS(RADIANS(Z74))</f>
        <v>88.09511095868244</v>
      </c>
      <c r="AH74" s="43">
        <f t="shared" ref="AH74:AH82" si="71">1.15*$C$5*SIN(RADIANS(Z74))</f>
        <v>-73.92057511395204</v>
      </c>
      <c r="AW74" s="46">
        <v>65</v>
      </c>
      <c r="AX74" s="44">
        <v>-6.2</v>
      </c>
      <c r="AY74" s="43">
        <f t="shared" si="23"/>
        <v>344.89746835443015</v>
      </c>
      <c r="AZ74" s="45">
        <v>320</v>
      </c>
      <c r="BA74" s="43">
        <f t="shared" si="48"/>
        <v>-56.687128033236789</v>
      </c>
      <c r="BB74" s="43">
        <f t="shared" si="49"/>
        <v>-18.336370321569252</v>
      </c>
      <c r="BC74" s="43">
        <f t="shared" si="50"/>
        <v>-47.923068133407817</v>
      </c>
      <c r="BD74" s="43">
        <f t="shared" si="51"/>
        <v>-10.139343173132442</v>
      </c>
      <c r="BE74" s="43">
        <f t="shared" si="52"/>
        <v>-42.080361533521852</v>
      </c>
      <c r="BF74" s="43">
        <f t="shared" si="53"/>
        <v>-4.6746584075079163</v>
      </c>
    </row>
    <row r="75" spans="13:61" x14ac:dyDescent="0.2">
      <c r="Z75" s="45">
        <v>325</v>
      </c>
      <c r="AA75" s="43">
        <f t="shared" si="66"/>
        <v>81.915204428899159</v>
      </c>
      <c r="AB75" s="43">
        <f t="shared" si="67"/>
        <v>-57.357643635104651</v>
      </c>
      <c r="AC75" s="43">
        <f t="shared" si="68"/>
        <v>32.766081771559662</v>
      </c>
      <c r="AD75" s="43">
        <f t="shared" si="69"/>
        <v>-22.94305745404186</v>
      </c>
      <c r="AE75" s="43">
        <f t="shared" ref="AE75:AE82" si="72">$C$7*COS(RADIANS(Z75))</f>
        <v>51.807724198726746</v>
      </c>
      <c r="AF75" s="43">
        <f t="shared" ref="AF75:AF82" si="73">$C$7*SIN(RADIANS(Z75))</f>
        <v>-36.276159021438097</v>
      </c>
      <c r="AG75" s="43">
        <f t="shared" si="70"/>
        <v>94.202485093234017</v>
      </c>
      <c r="AH75" s="43">
        <f t="shared" si="71"/>
        <v>-65.961290180370341</v>
      </c>
      <c r="AW75" s="46">
        <v>66</v>
      </c>
      <c r="AX75" s="44">
        <v>-5.85</v>
      </c>
      <c r="AY75" s="43">
        <f t="shared" si="23"/>
        <v>345.90430379746812</v>
      </c>
      <c r="AZ75" s="45">
        <v>325</v>
      </c>
      <c r="BA75" s="43">
        <f t="shared" ref="BA75:BA83" si="74">0.7*$C$5*COS(RADIANS($BC$8-AZ75))+$BB$5</f>
        <v>-60.660025257475922</v>
      </c>
      <c r="BB75" s="43">
        <f t="shared" ref="BB75:BB83" si="75">0.7*$C$5*SIN(RADIANS($BC$8-AZ75))+$BC$5</f>
        <v>-13.698693495126225</v>
      </c>
      <c r="BC75" s="43">
        <f t="shared" ref="BC75:BC83" si="76">0.58*$C$5*COS(RADIANS($BC$8-AZ75))+$BB$5</f>
        <v>-51.214897262063097</v>
      </c>
      <c r="BD75" s="43">
        <f t="shared" ref="BD75:BD83" si="77">0.58*$C$5*SIN(RADIANS($BC$8-AZ75))+$BC$5</f>
        <v>-6.2966966597939411</v>
      </c>
      <c r="BE75" s="43">
        <f t="shared" ref="BE75:BE83" si="78">0.5*$C$5*COS(RADIANS($BC$8-AZ75))+$BB$5</f>
        <v>-44.918145265121233</v>
      </c>
      <c r="BF75" s="43">
        <f t="shared" ref="BF75:BF83" si="79">0.5*$C$5*SIN(RADIANS($BC$8-AZ75))+$BC$5</f>
        <v>-1.3620321029057543</v>
      </c>
    </row>
    <row r="76" spans="13:61" x14ac:dyDescent="0.2">
      <c r="Z76" s="45">
        <v>330</v>
      </c>
      <c r="AA76" s="43">
        <f t="shared" si="66"/>
        <v>86.602540378443834</v>
      </c>
      <c r="AB76" s="43">
        <f t="shared" si="67"/>
        <v>-50.000000000000043</v>
      </c>
      <c r="AC76" s="43">
        <f t="shared" si="68"/>
        <v>34.641016151377535</v>
      </c>
      <c r="AD76" s="43">
        <f t="shared" si="69"/>
        <v>-20.000000000000018</v>
      </c>
      <c r="AE76" s="43">
        <f t="shared" si="72"/>
        <v>54.772255750516599</v>
      </c>
      <c r="AF76" s="43">
        <f t="shared" si="73"/>
        <v>-31.622776601683825</v>
      </c>
      <c r="AG76" s="43">
        <f t="shared" si="70"/>
        <v>99.5929214352104</v>
      </c>
      <c r="AH76" s="43">
        <f t="shared" si="71"/>
        <v>-57.500000000000043</v>
      </c>
      <c r="AW76" s="46">
        <v>67</v>
      </c>
      <c r="AX76" s="44">
        <v>-5.5</v>
      </c>
      <c r="AY76" s="43">
        <f t="shared" ref="AY76:AY88" si="80">AY75+(360-280.46)/79</f>
        <v>346.91113924050609</v>
      </c>
      <c r="AZ76" s="45">
        <v>330</v>
      </c>
      <c r="BA76" s="43">
        <f t="shared" si="74"/>
        <v>-64.213604239894138</v>
      </c>
      <c r="BB76" s="43">
        <f t="shared" si="75"/>
        <v>-8.7324036207220281</v>
      </c>
      <c r="BC76" s="43">
        <f t="shared" si="76"/>
        <v>-54.159291276066767</v>
      </c>
      <c r="BD76" s="43">
        <f t="shared" si="77"/>
        <v>-2.1817707638590349</v>
      </c>
      <c r="BE76" s="43">
        <f t="shared" si="78"/>
        <v>-47.456415966848525</v>
      </c>
      <c r="BF76" s="43">
        <f t="shared" si="79"/>
        <v>2.1853178073829547</v>
      </c>
    </row>
    <row r="77" spans="13:61" x14ac:dyDescent="0.2">
      <c r="Z77" s="45">
        <v>335</v>
      </c>
      <c r="AA77" s="43">
        <f t="shared" si="66"/>
        <v>90.630778703665001</v>
      </c>
      <c r="AB77" s="43">
        <f t="shared" si="67"/>
        <v>-42.261826174069924</v>
      </c>
      <c r="AC77" s="43">
        <f t="shared" si="68"/>
        <v>36.252311481466002</v>
      </c>
      <c r="AD77" s="43">
        <f t="shared" si="69"/>
        <v>-16.904730469627967</v>
      </c>
      <c r="AE77" s="43">
        <f t="shared" si="72"/>
        <v>57.319937363652798</v>
      </c>
      <c r="AF77" s="43">
        <f t="shared" si="73"/>
        <v>-26.728725757636123</v>
      </c>
      <c r="AG77" s="43">
        <f t="shared" si="70"/>
        <v>104.22539550921475</v>
      </c>
      <c r="AH77" s="43">
        <f t="shared" si="71"/>
        <v>-48.601100100180403</v>
      </c>
      <c r="AW77" s="46">
        <v>68</v>
      </c>
      <c r="AX77" s="44">
        <v>-5.12</v>
      </c>
      <c r="AY77" s="43">
        <f t="shared" si="80"/>
        <v>347.91797468354406</v>
      </c>
      <c r="AZ77" s="45">
        <v>335</v>
      </c>
      <c r="BA77" s="43">
        <f t="shared" si="74"/>
        <v>-67.320820098725534</v>
      </c>
      <c r="BB77" s="43">
        <f t="shared" si="75"/>
        <v>-3.4752971630287455</v>
      </c>
      <c r="BC77" s="43">
        <f t="shared" si="76"/>
        <v>-56.733841559098494</v>
      </c>
      <c r="BD77" s="43">
        <f t="shared" si="77"/>
        <v>2.1741174439439703</v>
      </c>
      <c r="BE77" s="43">
        <f t="shared" si="78"/>
        <v>-49.675855866013805</v>
      </c>
      <c r="BF77" s="43">
        <f t="shared" si="79"/>
        <v>5.9403938485924428</v>
      </c>
    </row>
    <row r="78" spans="13:61" x14ac:dyDescent="0.2">
      <c r="Z78" s="45">
        <v>340</v>
      </c>
      <c r="AA78" s="43">
        <f t="shared" si="66"/>
        <v>93.969262078590845</v>
      </c>
      <c r="AB78" s="43">
        <f t="shared" si="67"/>
        <v>-34.202014332566861</v>
      </c>
      <c r="AC78" s="43">
        <f t="shared" si="68"/>
        <v>37.587704831436341</v>
      </c>
      <c r="AD78" s="43">
        <f t="shared" si="69"/>
        <v>-13.680805733026745</v>
      </c>
      <c r="AE78" s="43">
        <f t="shared" si="72"/>
        <v>59.431379642727101</v>
      </c>
      <c r="AF78" s="43">
        <f t="shared" si="73"/>
        <v>-21.631253171326982</v>
      </c>
      <c r="AG78" s="43">
        <f t="shared" si="70"/>
        <v>108.06465139037945</v>
      </c>
      <c r="AH78" s="43">
        <f t="shared" si="71"/>
        <v>-39.332316482451887</v>
      </c>
      <c r="AW78" s="46">
        <v>69</v>
      </c>
      <c r="AX78" s="44">
        <v>-4.7300000000000004</v>
      </c>
      <c r="AY78" s="43">
        <f t="shared" si="80"/>
        <v>348.92481012658203</v>
      </c>
      <c r="AZ78" s="45">
        <v>340</v>
      </c>
      <c r="BA78" s="43">
        <f t="shared" si="74"/>
        <v>-69.958025045096178</v>
      </c>
      <c r="BB78" s="43">
        <f t="shared" si="75"/>
        <v>2.0326161234829279</v>
      </c>
      <c r="BC78" s="43">
        <f t="shared" si="76"/>
        <v>-58.918954228948458</v>
      </c>
      <c r="BD78" s="43">
        <f t="shared" si="77"/>
        <v>6.7378170241965023</v>
      </c>
      <c r="BE78" s="43">
        <f t="shared" si="78"/>
        <v>-51.559573684849987</v>
      </c>
      <c r="BF78" s="43">
        <f t="shared" si="79"/>
        <v>9.8746176246722115</v>
      </c>
    </row>
    <row r="79" spans="13:61" x14ac:dyDescent="0.2">
      <c r="Z79" s="45">
        <v>345</v>
      </c>
      <c r="AA79" s="43">
        <f t="shared" si="66"/>
        <v>96.592582628906825</v>
      </c>
      <c r="AB79" s="43">
        <f t="shared" si="67"/>
        <v>-25.881904510252067</v>
      </c>
      <c r="AC79" s="43">
        <f t="shared" si="68"/>
        <v>38.637033051562732</v>
      </c>
      <c r="AD79" s="43">
        <f t="shared" si="69"/>
        <v>-10.352761804100828</v>
      </c>
      <c r="AE79" s="43">
        <f t="shared" si="72"/>
        <v>61.090513237072074</v>
      </c>
      <c r="AF79" s="43">
        <f t="shared" si="73"/>
        <v>-16.369153687076267</v>
      </c>
      <c r="AG79" s="43">
        <f t="shared" si="70"/>
        <v>111.08147002324284</v>
      </c>
      <c r="AH79" s="43">
        <f t="shared" si="71"/>
        <v>-29.764190186789875</v>
      </c>
      <c r="AW79" s="46">
        <v>70</v>
      </c>
      <c r="AX79" s="44">
        <v>-4.33</v>
      </c>
      <c r="AY79" s="43">
        <f t="shared" si="80"/>
        <v>349.93164556962</v>
      </c>
      <c r="AZ79" s="45">
        <v>345</v>
      </c>
      <c r="BA79" s="43">
        <f t="shared" si="74"/>
        <v>-72.105148356976343</v>
      </c>
      <c r="BB79" s="43">
        <f t="shared" si="75"/>
        <v>7.7494176929336689</v>
      </c>
      <c r="BC79" s="43">
        <f t="shared" si="76"/>
        <v>-60.697999258792017</v>
      </c>
      <c r="BD79" s="43">
        <f t="shared" si="77"/>
        <v>11.474595467455686</v>
      </c>
      <c r="BE79" s="43">
        <f t="shared" si="78"/>
        <v>-53.093233193335813</v>
      </c>
      <c r="BF79" s="43">
        <f t="shared" si="79"/>
        <v>13.958047317137027</v>
      </c>
    </row>
    <row r="80" spans="13:61" x14ac:dyDescent="0.2">
      <c r="Z80" s="45">
        <v>350</v>
      </c>
      <c r="AA80" s="43">
        <f t="shared" si="66"/>
        <v>98.480775301220802</v>
      </c>
      <c r="AB80" s="43">
        <f t="shared" si="67"/>
        <v>-17.36481776669304</v>
      </c>
      <c r="AC80" s="43">
        <f t="shared" si="68"/>
        <v>39.392310120488318</v>
      </c>
      <c r="AD80" s="43">
        <f t="shared" si="69"/>
        <v>-6.9459271066772157</v>
      </c>
      <c r="AE80" s="43">
        <f t="shared" si="72"/>
        <v>62.284711138222491</v>
      </c>
      <c r="AF80" s="43">
        <f t="shared" si="73"/>
        <v>-10.982475059301674</v>
      </c>
      <c r="AG80" s="43">
        <f t="shared" si="70"/>
        <v>113.25289159640391</v>
      </c>
      <c r="AH80" s="43">
        <f t="shared" si="71"/>
        <v>-19.969540431696991</v>
      </c>
      <c r="AW80" s="46">
        <v>71</v>
      </c>
      <c r="AX80" s="44">
        <v>-3.95</v>
      </c>
      <c r="AY80" s="43">
        <f t="shared" si="80"/>
        <v>350.93848101265797</v>
      </c>
      <c r="AZ80" s="45">
        <v>350</v>
      </c>
      <c r="BA80" s="43">
        <f t="shared" si="74"/>
        <v>-73.74584912949409</v>
      </c>
      <c r="BB80" s="43">
        <f t="shared" si="75"/>
        <v>13.631599233480829</v>
      </c>
      <c r="BC80" s="43">
        <f t="shared" si="76"/>
        <v>-62.057437041735291</v>
      </c>
      <c r="BD80" s="43">
        <f t="shared" si="77"/>
        <v>16.348403029623331</v>
      </c>
      <c r="BE80" s="43">
        <f t="shared" si="78"/>
        <v>-54.26516231656278</v>
      </c>
      <c r="BF80" s="43">
        <f t="shared" si="79"/>
        <v>18.159605560384996</v>
      </c>
    </row>
    <row r="81" spans="26:58" x14ac:dyDescent="0.2">
      <c r="Z81" s="45">
        <v>355</v>
      </c>
      <c r="AA81" s="43">
        <f t="shared" si="66"/>
        <v>99.619469809174561</v>
      </c>
      <c r="AB81" s="43">
        <f t="shared" si="67"/>
        <v>-8.7155742747658316</v>
      </c>
      <c r="AC81" s="43">
        <f t="shared" si="68"/>
        <v>39.84778792366982</v>
      </c>
      <c r="AD81" s="43">
        <f t="shared" si="69"/>
        <v>-3.4862297099063326</v>
      </c>
      <c r="AE81" s="43">
        <f t="shared" si="72"/>
        <v>63.00488477907421</v>
      </c>
      <c r="AF81" s="43">
        <f t="shared" si="73"/>
        <v>-5.5122131649260435</v>
      </c>
      <c r="AG81" s="43">
        <f t="shared" si="70"/>
        <v>114.56239028055073</v>
      </c>
      <c r="AH81" s="43">
        <f t="shared" si="71"/>
        <v>-10.022910415980705</v>
      </c>
      <c r="AW81" s="46">
        <v>72</v>
      </c>
      <c r="AX81" s="44">
        <v>-3.55</v>
      </c>
      <c r="AY81" s="43">
        <f t="shared" si="80"/>
        <v>351.94531645569595</v>
      </c>
      <c r="AZ81" s="45">
        <v>355</v>
      </c>
      <c r="BA81" s="43">
        <f t="shared" si="74"/>
        <v>-74.86764063908835</v>
      </c>
      <c r="BB81" s="43">
        <f t="shared" si="75"/>
        <v>19.634393791842452</v>
      </c>
      <c r="BC81" s="43">
        <f t="shared" si="76"/>
        <v>-62.986921435399111</v>
      </c>
      <c r="BD81" s="43">
        <f t="shared" si="77"/>
        <v>21.322147092265819</v>
      </c>
      <c r="BE81" s="43">
        <f t="shared" si="78"/>
        <v>-55.066441966272961</v>
      </c>
      <c r="BF81" s="43">
        <f t="shared" si="79"/>
        <v>22.447315959214727</v>
      </c>
    </row>
    <row r="82" spans="26:58" x14ac:dyDescent="0.2">
      <c r="Z82" s="45">
        <v>360</v>
      </c>
      <c r="AA82" s="43">
        <f t="shared" si="66"/>
        <v>100</v>
      </c>
      <c r="AB82" s="43">
        <f t="shared" si="67"/>
        <v>-2.45029690981724E-14</v>
      </c>
      <c r="AC82" s="43">
        <f t="shared" si="68"/>
        <v>40</v>
      </c>
      <c r="AD82" s="43">
        <f t="shared" si="69"/>
        <v>-9.8011876392689601E-15</v>
      </c>
      <c r="AE82" s="43">
        <f t="shared" si="72"/>
        <v>63.245553203367592</v>
      </c>
      <c r="AF82" s="43">
        <f t="shared" si="73"/>
        <v>-1.5497038357389347E-14</v>
      </c>
      <c r="AG82" s="43">
        <f t="shared" si="70"/>
        <v>114.99999999999999</v>
      </c>
      <c r="AH82" s="43">
        <f t="shared" si="71"/>
        <v>-2.8178414462898257E-14</v>
      </c>
      <c r="AW82" s="46">
        <v>73</v>
      </c>
      <c r="AX82" s="44">
        <v>-3.17</v>
      </c>
      <c r="AY82" s="43">
        <f t="shared" si="80"/>
        <v>352.95215189873392</v>
      </c>
      <c r="AZ82" s="45">
        <v>360</v>
      </c>
      <c r="BA82" s="43">
        <f t="shared" si="74"/>
        <v>-75.461985375014876</v>
      </c>
      <c r="BB82" s="43">
        <f t="shared" si="75"/>
        <v>25.71211647684299</v>
      </c>
      <c r="BC82" s="43">
        <f t="shared" si="76"/>
        <v>-63.479378502309658</v>
      </c>
      <c r="BD82" s="43">
        <f t="shared" si="77"/>
        <v>26.357974459837692</v>
      </c>
      <c r="BE82" s="43">
        <f t="shared" si="78"/>
        <v>-55.490973920506192</v>
      </c>
      <c r="BF82" s="43">
        <f t="shared" si="79"/>
        <v>26.788546448500828</v>
      </c>
    </row>
    <row r="83" spans="26:58" x14ac:dyDescent="0.2">
      <c r="AW83" s="46">
        <v>74</v>
      </c>
      <c r="AX83" s="44">
        <v>-2.77</v>
      </c>
      <c r="AY83" s="43">
        <f t="shared" si="80"/>
        <v>353.95898734177189</v>
      </c>
      <c r="AZ83" s="45">
        <v>365</v>
      </c>
      <c r="BA83" s="43">
        <f t="shared" si="74"/>
        <v>-75.524360014958091</v>
      </c>
      <c r="BB83" s="43">
        <f t="shared" si="75"/>
        <v>31.81851214902029</v>
      </c>
      <c r="BC83" s="43">
        <f t="shared" si="76"/>
        <v>-63.531060346834046</v>
      </c>
      <c r="BD83" s="43">
        <f t="shared" si="77"/>
        <v>31.417559445356027</v>
      </c>
      <c r="BE83" s="43">
        <f t="shared" si="78"/>
        <v>-55.535527234751356</v>
      </c>
      <c r="BF83" s="43">
        <f t="shared" si="79"/>
        <v>31.150257642913182</v>
      </c>
    </row>
    <row r="84" spans="26:58" x14ac:dyDescent="0.2">
      <c r="AW84" s="46">
        <v>75</v>
      </c>
      <c r="AX84" s="44">
        <v>-2.37</v>
      </c>
      <c r="AY84" s="43">
        <f t="shared" si="80"/>
        <v>354.96582278480986</v>
      </c>
    </row>
    <row r="85" spans="26:58" x14ac:dyDescent="0.2">
      <c r="AW85" s="46">
        <v>76</v>
      </c>
      <c r="AX85" s="44">
        <v>-1.98</v>
      </c>
      <c r="AY85" s="43">
        <f t="shared" si="80"/>
        <v>355.97265822784783</v>
      </c>
    </row>
    <row r="86" spans="26:58" x14ac:dyDescent="0.2">
      <c r="AW86" s="46">
        <v>77</v>
      </c>
      <c r="AX86" s="44">
        <v>-1.58</v>
      </c>
      <c r="AY86" s="43">
        <f t="shared" si="80"/>
        <v>356.9794936708858</v>
      </c>
    </row>
    <row r="87" spans="26:58" x14ac:dyDescent="0.2">
      <c r="AW87" s="46">
        <v>78</v>
      </c>
      <c r="AX87" s="44">
        <v>-1.18</v>
      </c>
      <c r="AY87" s="43">
        <f t="shared" si="80"/>
        <v>357.98632911392377</v>
      </c>
    </row>
    <row r="88" spans="26:58" x14ac:dyDescent="0.2">
      <c r="AW88" s="46">
        <v>79</v>
      </c>
      <c r="AX88" s="44">
        <v>-0.8</v>
      </c>
      <c r="AY88" s="43">
        <f t="shared" si="80"/>
        <v>358.99316455696174</v>
      </c>
    </row>
    <row r="89" spans="26:58" x14ac:dyDescent="0.2">
      <c r="AW89" s="46">
        <v>80</v>
      </c>
      <c r="AX89" s="44">
        <v>-0.4</v>
      </c>
      <c r="AY89" s="43">
        <v>0</v>
      </c>
    </row>
    <row r="90" spans="26:58" x14ac:dyDescent="0.2">
      <c r="AW90" s="46">
        <v>81</v>
      </c>
      <c r="AX90" s="44">
        <v>0</v>
      </c>
      <c r="AY90" s="43">
        <f>AY89+280.46/285</f>
        <v>0.98407017543859643</v>
      </c>
    </row>
    <row r="91" spans="26:58" x14ac:dyDescent="0.2">
      <c r="AW91" s="46">
        <v>82</v>
      </c>
      <c r="AX91" s="44">
        <v>0.4</v>
      </c>
      <c r="AY91" s="43">
        <f t="shared" ref="AY91:AY154" si="81">AY90+280.46/285</f>
        <v>1.9681403508771929</v>
      </c>
    </row>
    <row r="92" spans="26:58" x14ac:dyDescent="0.2">
      <c r="AW92" s="46">
        <v>83</v>
      </c>
      <c r="AX92" s="44">
        <v>0.78</v>
      </c>
      <c r="AY92" s="43">
        <f t="shared" si="81"/>
        <v>2.9522105263157892</v>
      </c>
    </row>
    <row r="93" spans="26:58" x14ac:dyDescent="0.2">
      <c r="AW93" s="46">
        <v>84</v>
      </c>
      <c r="AX93" s="44">
        <v>1.18</v>
      </c>
      <c r="AY93" s="43">
        <f t="shared" si="81"/>
        <v>3.9362807017543857</v>
      </c>
    </row>
    <row r="94" spans="26:58" x14ac:dyDescent="0.2">
      <c r="AW94" s="46">
        <v>85</v>
      </c>
      <c r="AX94" s="44">
        <v>1.58</v>
      </c>
      <c r="AY94" s="43">
        <f t="shared" si="81"/>
        <v>4.9203508771929823</v>
      </c>
    </row>
    <row r="95" spans="26:58" x14ac:dyDescent="0.2">
      <c r="AW95" s="46">
        <v>86</v>
      </c>
      <c r="AX95" s="44">
        <v>1.97</v>
      </c>
      <c r="AY95" s="43">
        <f t="shared" si="81"/>
        <v>5.9044210526315783</v>
      </c>
    </row>
    <row r="96" spans="26:58" x14ac:dyDescent="0.2">
      <c r="AW96" s="46">
        <v>87</v>
      </c>
      <c r="AX96" s="44">
        <v>2.37</v>
      </c>
      <c r="AY96" s="43">
        <f t="shared" si="81"/>
        <v>6.8884912280701744</v>
      </c>
    </row>
    <row r="97" spans="49:51" x14ac:dyDescent="0.2">
      <c r="AW97" s="46">
        <v>88</v>
      </c>
      <c r="AX97" s="44">
        <v>2.75</v>
      </c>
      <c r="AY97" s="43">
        <f t="shared" si="81"/>
        <v>7.8725614035087705</v>
      </c>
    </row>
    <row r="98" spans="49:51" x14ac:dyDescent="0.2">
      <c r="AW98" s="46">
        <v>89</v>
      </c>
      <c r="AX98" s="44">
        <v>3.15</v>
      </c>
      <c r="AY98" s="43">
        <f t="shared" si="81"/>
        <v>8.8566315789473666</v>
      </c>
    </row>
    <row r="99" spans="49:51" x14ac:dyDescent="0.2">
      <c r="AW99" s="46">
        <v>90</v>
      </c>
      <c r="AX99" s="44">
        <v>3.53</v>
      </c>
      <c r="AY99" s="43">
        <f t="shared" si="81"/>
        <v>9.8407017543859627</v>
      </c>
    </row>
    <row r="100" spans="49:51" x14ac:dyDescent="0.2">
      <c r="AW100" s="46">
        <v>91</v>
      </c>
      <c r="AX100" s="44">
        <v>3.92</v>
      </c>
      <c r="AY100" s="43">
        <f t="shared" si="81"/>
        <v>10.824771929824559</v>
      </c>
    </row>
    <row r="101" spans="49:51" x14ac:dyDescent="0.2">
      <c r="AW101" s="46">
        <v>92</v>
      </c>
      <c r="AX101" s="44">
        <v>4.3</v>
      </c>
      <c r="AY101" s="43">
        <f t="shared" si="81"/>
        <v>11.808842105263155</v>
      </c>
    </row>
    <row r="102" spans="49:51" x14ac:dyDescent="0.2">
      <c r="AW102" s="46">
        <v>93</v>
      </c>
      <c r="AX102" s="44">
        <v>4.7</v>
      </c>
      <c r="AY102" s="43">
        <f t="shared" si="81"/>
        <v>12.792912280701751</v>
      </c>
    </row>
    <row r="103" spans="49:51" x14ac:dyDescent="0.2">
      <c r="AW103" s="46">
        <v>94</v>
      </c>
      <c r="AX103" s="44">
        <v>5.08</v>
      </c>
      <c r="AY103" s="43">
        <f t="shared" si="81"/>
        <v>13.776982456140347</v>
      </c>
    </row>
    <row r="104" spans="49:51" x14ac:dyDescent="0.2">
      <c r="AW104" s="46">
        <v>95</v>
      </c>
      <c r="AX104" s="44">
        <v>5.47</v>
      </c>
      <c r="AY104" s="43">
        <f t="shared" si="81"/>
        <v>14.761052631578943</v>
      </c>
    </row>
    <row r="105" spans="49:51" x14ac:dyDescent="0.2">
      <c r="AW105" s="46">
        <v>96</v>
      </c>
      <c r="AX105" s="44">
        <v>5.85</v>
      </c>
      <c r="AY105" s="43">
        <f t="shared" si="81"/>
        <v>15.745122807017539</v>
      </c>
    </row>
    <row r="106" spans="49:51" x14ac:dyDescent="0.2">
      <c r="AW106" s="46">
        <v>97</v>
      </c>
      <c r="AX106" s="44">
        <v>6.22</v>
      </c>
      <c r="AY106" s="43">
        <f t="shared" si="81"/>
        <v>16.729192982456137</v>
      </c>
    </row>
    <row r="107" spans="49:51" x14ac:dyDescent="0.2">
      <c r="AW107" s="46">
        <v>98</v>
      </c>
      <c r="AX107" s="44">
        <v>6.6</v>
      </c>
      <c r="AY107" s="43">
        <f t="shared" si="81"/>
        <v>17.713263157894733</v>
      </c>
    </row>
    <row r="108" spans="49:51" x14ac:dyDescent="0.2">
      <c r="AW108" s="46">
        <v>99</v>
      </c>
      <c r="AX108" s="44">
        <v>6.98</v>
      </c>
      <c r="AY108" s="43">
        <f t="shared" si="81"/>
        <v>18.697333333333329</v>
      </c>
    </row>
    <row r="109" spans="49:51" x14ac:dyDescent="0.2">
      <c r="AW109" s="46">
        <v>100</v>
      </c>
      <c r="AX109" s="44">
        <v>7.35</v>
      </c>
      <c r="AY109" s="43">
        <f t="shared" si="81"/>
        <v>19.681403508771925</v>
      </c>
    </row>
    <row r="110" spans="49:51" x14ac:dyDescent="0.2">
      <c r="AW110" s="46">
        <v>101</v>
      </c>
      <c r="AX110" s="44">
        <v>7.72</v>
      </c>
      <c r="AY110" s="43">
        <f t="shared" si="81"/>
        <v>20.665473684210522</v>
      </c>
    </row>
    <row r="111" spans="49:51" x14ac:dyDescent="0.2">
      <c r="AW111" s="46">
        <v>102</v>
      </c>
      <c r="AX111" s="44">
        <v>8.1199999999999992</v>
      </c>
      <c r="AY111" s="43">
        <f t="shared" si="81"/>
        <v>21.649543859649118</v>
      </c>
    </row>
    <row r="112" spans="49:51" x14ac:dyDescent="0.2">
      <c r="AW112" s="46">
        <v>103</v>
      </c>
      <c r="AX112" s="44">
        <v>8.4700000000000006</v>
      </c>
      <c r="AY112" s="43">
        <f t="shared" si="81"/>
        <v>22.633614035087714</v>
      </c>
    </row>
    <row r="113" spans="49:51" x14ac:dyDescent="0.2">
      <c r="AW113" s="46">
        <v>104</v>
      </c>
      <c r="AX113" s="44">
        <v>8.83</v>
      </c>
      <c r="AY113" s="43">
        <f t="shared" si="81"/>
        <v>23.61768421052631</v>
      </c>
    </row>
    <row r="114" spans="49:51" x14ac:dyDescent="0.2">
      <c r="AW114" s="46">
        <v>105</v>
      </c>
      <c r="AX114" s="44">
        <v>9.18</v>
      </c>
      <c r="AY114" s="43">
        <f t="shared" si="81"/>
        <v>24.601754385964906</v>
      </c>
    </row>
    <row r="115" spans="49:51" x14ac:dyDescent="0.2">
      <c r="AW115" s="46">
        <v>106</v>
      </c>
      <c r="AX115" s="44">
        <v>9.5500000000000007</v>
      </c>
      <c r="AY115" s="43">
        <f t="shared" si="81"/>
        <v>25.585824561403502</v>
      </c>
    </row>
    <row r="116" spans="49:51" x14ac:dyDescent="0.2">
      <c r="AW116" s="46">
        <v>107</v>
      </c>
      <c r="AX116" s="44">
        <v>9.9</v>
      </c>
      <c r="AY116" s="43">
        <f t="shared" si="81"/>
        <v>26.569894736842098</v>
      </c>
    </row>
    <row r="117" spans="49:51" x14ac:dyDescent="0.2">
      <c r="AW117" s="46">
        <v>108</v>
      </c>
      <c r="AX117" s="44">
        <v>10.27</v>
      </c>
      <c r="AY117" s="43">
        <f t="shared" si="81"/>
        <v>27.553964912280694</v>
      </c>
    </row>
    <row r="118" spans="49:51" x14ac:dyDescent="0.2">
      <c r="AW118" s="46">
        <v>109</v>
      </c>
      <c r="AX118" s="44">
        <v>10.62</v>
      </c>
      <c r="AY118" s="43">
        <f t="shared" si="81"/>
        <v>28.53803508771929</v>
      </c>
    </row>
    <row r="119" spans="49:51" x14ac:dyDescent="0.2">
      <c r="AW119" s="46">
        <v>110</v>
      </c>
      <c r="AX119" s="44">
        <v>10.97</v>
      </c>
      <c r="AY119" s="43">
        <f t="shared" si="81"/>
        <v>29.522105263157886</v>
      </c>
    </row>
    <row r="120" spans="49:51" x14ac:dyDescent="0.2">
      <c r="AW120" s="46">
        <v>111</v>
      </c>
      <c r="AX120" s="44">
        <v>11.32</v>
      </c>
      <c r="AY120" s="43">
        <f t="shared" si="81"/>
        <v>30.506175438596483</v>
      </c>
    </row>
    <row r="121" spans="49:51" x14ac:dyDescent="0.2">
      <c r="AW121" s="46">
        <v>112</v>
      </c>
      <c r="AX121" s="44">
        <v>11.65</v>
      </c>
      <c r="AY121" s="43">
        <f t="shared" si="81"/>
        <v>31.490245614035079</v>
      </c>
    </row>
    <row r="122" spans="49:51" x14ac:dyDescent="0.2">
      <c r="AW122" s="46">
        <v>113</v>
      </c>
      <c r="AX122" s="44">
        <v>12</v>
      </c>
      <c r="AY122" s="43">
        <f t="shared" si="81"/>
        <v>32.474315789473678</v>
      </c>
    </row>
    <row r="123" spans="49:51" x14ac:dyDescent="0.2">
      <c r="AW123" s="46">
        <v>114</v>
      </c>
      <c r="AX123" s="44">
        <v>12.33</v>
      </c>
      <c r="AY123" s="43">
        <f t="shared" si="81"/>
        <v>33.458385964912274</v>
      </c>
    </row>
    <row r="124" spans="49:51" x14ac:dyDescent="0.2">
      <c r="AW124" s="46">
        <v>115</v>
      </c>
      <c r="AX124" s="44">
        <v>12.67</v>
      </c>
      <c r="AY124" s="43">
        <f t="shared" si="81"/>
        <v>34.44245614035087</v>
      </c>
    </row>
    <row r="125" spans="49:51" x14ac:dyDescent="0.2">
      <c r="AW125" s="46">
        <v>116</v>
      </c>
      <c r="AX125" s="44">
        <v>13</v>
      </c>
      <c r="AY125" s="43">
        <f t="shared" si="81"/>
        <v>35.426526315789467</v>
      </c>
    </row>
    <row r="126" spans="49:51" x14ac:dyDescent="0.2">
      <c r="AW126" s="46">
        <v>117</v>
      </c>
      <c r="AX126" s="44">
        <v>13.32</v>
      </c>
      <c r="AY126" s="43">
        <f t="shared" si="81"/>
        <v>36.410596491228063</v>
      </c>
    </row>
    <row r="127" spans="49:51" x14ac:dyDescent="0.2">
      <c r="AW127" s="46">
        <v>118</v>
      </c>
      <c r="AX127" s="44">
        <v>13.63</v>
      </c>
      <c r="AY127" s="43">
        <f t="shared" si="81"/>
        <v>37.394666666666659</v>
      </c>
    </row>
    <row r="128" spans="49:51" x14ac:dyDescent="0.2">
      <c r="AW128" s="46">
        <v>119</v>
      </c>
      <c r="AX128" s="44">
        <v>13.97</v>
      </c>
      <c r="AY128" s="43">
        <f t="shared" si="81"/>
        <v>38.378736842105255</v>
      </c>
    </row>
    <row r="129" spans="49:51" x14ac:dyDescent="0.2">
      <c r="AW129" s="46">
        <v>120</v>
      </c>
      <c r="AX129" s="44">
        <v>14.27</v>
      </c>
      <c r="AY129" s="43">
        <f t="shared" si="81"/>
        <v>39.362807017543851</v>
      </c>
    </row>
    <row r="130" spans="49:51" x14ac:dyDescent="0.2">
      <c r="AW130" s="46">
        <v>121</v>
      </c>
      <c r="AX130" s="44">
        <v>14.58</v>
      </c>
      <c r="AY130" s="43">
        <f t="shared" si="81"/>
        <v>40.346877192982447</v>
      </c>
    </row>
    <row r="131" spans="49:51" x14ac:dyDescent="0.2">
      <c r="AW131" s="46">
        <v>122</v>
      </c>
      <c r="AX131" s="44">
        <v>14.9</v>
      </c>
      <c r="AY131" s="43">
        <f t="shared" si="81"/>
        <v>41.330947368421043</v>
      </c>
    </row>
    <row r="132" spans="49:51" x14ac:dyDescent="0.2">
      <c r="AW132" s="46">
        <v>123</v>
      </c>
      <c r="AX132" s="44">
        <v>15.2</v>
      </c>
      <c r="AY132" s="43">
        <f t="shared" si="81"/>
        <v>42.315017543859639</v>
      </c>
    </row>
    <row r="133" spans="49:51" x14ac:dyDescent="0.2">
      <c r="AW133" s="46">
        <v>124</v>
      </c>
      <c r="AX133" s="44">
        <v>15.5</v>
      </c>
      <c r="AY133" s="43">
        <f t="shared" si="81"/>
        <v>43.299087719298235</v>
      </c>
    </row>
    <row r="134" spans="49:51" x14ac:dyDescent="0.2">
      <c r="AW134" s="46">
        <v>125</v>
      </c>
      <c r="AX134" s="44">
        <v>15.78</v>
      </c>
      <c r="AY134" s="43">
        <f t="shared" si="81"/>
        <v>44.283157894736831</v>
      </c>
    </row>
    <row r="135" spans="49:51" x14ac:dyDescent="0.2">
      <c r="AW135" s="46">
        <v>126</v>
      </c>
      <c r="AX135" s="44">
        <v>16.079999999999998</v>
      </c>
      <c r="AY135" s="43">
        <f t="shared" si="81"/>
        <v>45.267228070175427</v>
      </c>
    </row>
    <row r="136" spans="49:51" x14ac:dyDescent="0.2">
      <c r="AW136" s="46">
        <v>127</v>
      </c>
      <c r="AX136" s="44">
        <v>16.37</v>
      </c>
      <c r="AY136" s="43">
        <f t="shared" si="81"/>
        <v>46.251298245614024</v>
      </c>
    </row>
    <row r="137" spans="49:51" x14ac:dyDescent="0.2">
      <c r="AW137" s="46">
        <v>128</v>
      </c>
      <c r="AX137" s="44">
        <v>16.649999999999999</v>
      </c>
      <c r="AY137" s="43">
        <f t="shared" si="81"/>
        <v>47.23536842105262</v>
      </c>
    </row>
    <row r="138" spans="49:51" x14ac:dyDescent="0.2">
      <c r="AW138" s="46">
        <v>129</v>
      </c>
      <c r="AX138" s="44">
        <v>16.920000000000002</v>
      </c>
      <c r="AY138" s="43">
        <f t="shared" si="81"/>
        <v>48.219438596491216</v>
      </c>
    </row>
    <row r="139" spans="49:51" x14ac:dyDescent="0.2">
      <c r="AW139" s="46">
        <v>130</v>
      </c>
      <c r="AX139" s="44">
        <v>17.2</v>
      </c>
      <c r="AY139" s="43">
        <f t="shared" si="81"/>
        <v>49.203508771929812</v>
      </c>
    </row>
    <row r="140" spans="49:51" x14ac:dyDescent="0.2">
      <c r="AW140" s="46">
        <v>131</v>
      </c>
      <c r="AX140" s="44">
        <v>17.45</v>
      </c>
      <c r="AY140" s="43">
        <f t="shared" si="81"/>
        <v>50.187578947368408</v>
      </c>
    </row>
    <row r="141" spans="49:51" x14ac:dyDescent="0.2">
      <c r="AW141" s="46">
        <v>132</v>
      </c>
      <c r="AX141" s="44">
        <v>17.72</v>
      </c>
      <c r="AY141" s="43">
        <f t="shared" si="81"/>
        <v>51.171649122807004</v>
      </c>
    </row>
    <row r="142" spans="49:51" x14ac:dyDescent="0.2">
      <c r="AW142" s="46">
        <v>133</v>
      </c>
      <c r="AX142" s="44">
        <v>17.98</v>
      </c>
      <c r="AY142" s="43">
        <f t="shared" si="81"/>
        <v>52.1557192982456</v>
      </c>
    </row>
    <row r="143" spans="49:51" x14ac:dyDescent="0.2">
      <c r="AW143" s="46">
        <v>134</v>
      </c>
      <c r="AX143" s="44">
        <v>18.23</v>
      </c>
      <c r="AY143" s="43">
        <f t="shared" si="81"/>
        <v>53.139789473684196</v>
      </c>
    </row>
    <row r="144" spans="49:51" x14ac:dyDescent="0.2">
      <c r="AW144" s="46">
        <v>135</v>
      </c>
      <c r="AX144" s="44">
        <v>18.48</v>
      </c>
      <c r="AY144" s="43">
        <f t="shared" si="81"/>
        <v>54.123859649122792</v>
      </c>
    </row>
    <row r="145" spans="49:51" x14ac:dyDescent="0.2">
      <c r="AW145" s="46">
        <v>136</v>
      </c>
      <c r="AX145" s="44">
        <v>18.72</v>
      </c>
      <c r="AY145" s="43">
        <f t="shared" si="81"/>
        <v>55.107929824561388</v>
      </c>
    </row>
    <row r="146" spans="49:51" x14ac:dyDescent="0.2">
      <c r="AW146" s="46">
        <v>137</v>
      </c>
      <c r="AX146" s="44">
        <v>18.97</v>
      </c>
      <c r="AY146" s="43">
        <f t="shared" si="81"/>
        <v>56.091999999999985</v>
      </c>
    </row>
    <row r="147" spans="49:51" x14ac:dyDescent="0.2">
      <c r="AW147" s="46">
        <v>138</v>
      </c>
      <c r="AX147" s="44">
        <v>19.18</v>
      </c>
      <c r="AY147" s="43">
        <f t="shared" si="81"/>
        <v>57.076070175438581</v>
      </c>
    </row>
    <row r="148" spans="49:51" x14ac:dyDescent="0.2">
      <c r="AW148" s="46">
        <v>139</v>
      </c>
      <c r="AX148" s="44">
        <v>19.420000000000002</v>
      </c>
      <c r="AY148" s="43">
        <f t="shared" si="81"/>
        <v>58.060140350877177</v>
      </c>
    </row>
    <row r="149" spans="49:51" x14ac:dyDescent="0.2">
      <c r="AW149" s="46">
        <v>140</v>
      </c>
      <c r="AX149" s="44">
        <v>19.63</v>
      </c>
      <c r="AY149" s="43">
        <f t="shared" si="81"/>
        <v>59.044210526315773</v>
      </c>
    </row>
    <row r="150" spans="49:51" x14ac:dyDescent="0.2">
      <c r="AW150" s="46">
        <v>141</v>
      </c>
      <c r="AX150" s="44">
        <v>19.850000000000001</v>
      </c>
      <c r="AY150" s="43">
        <f t="shared" si="81"/>
        <v>60.028280701754369</v>
      </c>
    </row>
    <row r="151" spans="49:51" x14ac:dyDescent="0.2">
      <c r="AW151" s="46">
        <v>142</v>
      </c>
      <c r="AX151" s="44">
        <v>20.07</v>
      </c>
      <c r="AY151" s="43">
        <f t="shared" si="81"/>
        <v>61.012350877192965</v>
      </c>
    </row>
    <row r="152" spans="49:51" x14ac:dyDescent="0.2">
      <c r="AW152" s="46">
        <v>143</v>
      </c>
      <c r="AX152" s="44">
        <v>20.27</v>
      </c>
      <c r="AY152" s="43">
        <f t="shared" si="81"/>
        <v>61.996421052631561</v>
      </c>
    </row>
    <row r="153" spans="49:51" x14ac:dyDescent="0.2">
      <c r="AW153" s="46">
        <v>144</v>
      </c>
      <c r="AX153" s="44">
        <v>20.47</v>
      </c>
      <c r="AY153" s="43">
        <f t="shared" si="81"/>
        <v>62.980491228070157</v>
      </c>
    </row>
    <row r="154" spans="49:51" x14ac:dyDescent="0.2">
      <c r="AW154" s="46">
        <v>145</v>
      </c>
      <c r="AX154" s="44">
        <v>20.65</v>
      </c>
      <c r="AY154" s="43">
        <f t="shared" si="81"/>
        <v>63.964561403508753</v>
      </c>
    </row>
    <row r="155" spans="49:51" x14ac:dyDescent="0.2">
      <c r="AW155" s="46">
        <v>146</v>
      </c>
      <c r="AX155" s="44">
        <v>20.83</v>
      </c>
      <c r="AY155" s="43">
        <f t="shared" ref="AY155:AY218" si="82">AY154+280.46/285</f>
        <v>64.948631578947357</v>
      </c>
    </row>
    <row r="156" spans="49:51" x14ac:dyDescent="0.2">
      <c r="AW156" s="46">
        <v>147</v>
      </c>
      <c r="AX156" s="44">
        <v>21.02</v>
      </c>
      <c r="AY156" s="43">
        <f t="shared" si="82"/>
        <v>65.93270175438596</v>
      </c>
    </row>
    <row r="157" spans="49:51" x14ac:dyDescent="0.2">
      <c r="AW157" s="46">
        <v>148</v>
      </c>
      <c r="AX157" s="44">
        <v>21.2</v>
      </c>
      <c r="AY157" s="43">
        <f t="shared" si="82"/>
        <v>66.916771929824563</v>
      </c>
    </row>
    <row r="158" spans="49:51" x14ac:dyDescent="0.2">
      <c r="AW158" s="46">
        <v>149</v>
      </c>
      <c r="AX158" s="44">
        <v>21.37</v>
      </c>
      <c r="AY158" s="43">
        <f t="shared" si="82"/>
        <v>67.900842105263166</v>
      </c>
    </row>
    <row r="159" spans="49:51" x14ac:dyDescent="0.2">
      <c r="AW159" s="46">
        <v>150</v>
      </c>
      <c r="AX159" s="44">
        <v>21.52</v>
      </c>
      <c r="AY159" s="43">
        <f t="shared" si="82"/>
        <v>68.884912280701769</v>
      </c>
    </row>
    <row r="160" spans="49:51" x14ac:dyDescent="0.2">
      <c r="AW160" s="46">
        <v>151</v>
      </c>
      <c r="AX160" s="44">
        <v>21.68</v>
      </c>
      <c r="AY160" s="43">
        <f t="shared" si="82"/>
        <v>69.868982456140373</v>
      </c>
    </row>
    <row r="161" spans="49:51" x14ac:dyDescent="0.2">
      <c r="AW161" s="46">
        <v>152</v>
      </c>
      <c r="AX161" s="44">
        <v>21.83</v>
      </c>
      <c r="AY161" s="43">
        <f t="shared" si="82"/>
        <v>70.853052631578976</v>
      </c>
    </row>
    <row r="162" spans="49:51" x14ac:dyDescent="0.2">
      <c r="AW162" s="46">
        <v>153</v>
      </c>
      <c r="AX162" s="44">
        <v>21.97</v>
      </c>
      <c r="AY162" s="43">
        <f t="shared" si="82"/>
        <v>71.837122807017579</v>
      </c>
    </row>
    <row r="163" spans="49:51" x14ac:dyDescent="0.2">
      <c r="AW163" s="46">
        <v>154</v>
      </c>
      <c r="AX163" s="44">
        <v>22.1</v>
      </c>
      <c r="AY163" s="43">
        <f t="shared" si="82"/>
        <v>72.821192982456182</v>
      </c>
    </row>
    <row r="164" spans="49:51" x14ac:dyDescent="0.2">
      <c r="AW164" s="46">
        <v>155</v>
      </c>
      <c r="AX164" s="44">
        <v>22.23</v>
      </c>
      <c r="AY164" s="43">
        <f t="shared" si="82"/>
        <v>73.805263157894785</v>
      </c>
    </row>
    <row r="165" spans="49:51" x14ac:dyDescent="0.2">
      <c r="AW165" s="46">
        <v>156</v>
      </c>
      <c r="AX165" s="44">
        <v>22.37</v>
      </c>
      <c r="AY165" s="43">
        <f t="shared" si="82"/>
        <v>74.789333333333389</v>
      </c>
    </row>
    <row r="166" spans="49:51" x14ac:dyDescent="0.2">
      <c r="AW166" s="46">
        <v>157</v>
      </c>
      <c r="AX166" s="44">
        <v>22.48</v>
      </c>
      <c r="AY166" s="43">
        <f t="shared" si="82"/>
        <v>75.773403508771992</v>
      </c>
    </row>
    <row r="167" spans="49:51" x14ac:dyDescent="0.2">
      <c r="AW167" s="46">
        <v>158</v>
      </c>
      <c r="AX167" s="44">
        <v>22.58</v>
      </c>
      <c r="AY167" s="43">
        <f t="shared" si="82"/>
        <v>76.757473684210595</v>
      </c>
    </row>
    <row r="168" spans="49:51" x14ac:dyDescent="0.2">
      <c r="AW168" s="46">
        <v>159</v>
      </c>
      <c r="AX168" s="44">
        <v>22.7</v>
      </c>
      <c r="AY168" s="43">
        <f t="shared" si="82"/>
        <v>77.741543859649198</v>
      </c>
    </row>
    <row r="169" spans="49:51" x14ac:dyDescent="0.2">
      <c r="AW169" s="46">
        <v>160</v>
      </c>
      <c r="AX169" s="44">
        <v>22.78</v>
      </c>
      <c r="AY169" s="43">
        <f t="shared" si="82"/>
        <v>78.725614035087801</v>
      </c>
    </row>
    <row r="170" spans="49:51" x14ac:dyDescent="0.2">
      <c r="AW170" s="46">
        <v>161</v>
      </c>
      <c r="AX170" s="44">
        <v>22.88</v>
      </c>
      <c r="AY170" s="43">
        <f t="shared" si="82"/>
        <v>79.709684210526405</v>
      </c>
    </row>
    <row r="171" spans="49:51" x14ac:dyDescent="0.2">
      <c r="AW171" s="46">
        <v>162</v>
      </c>
      <c r="AX171" s="44">
        <v>22.97</v>
      </c>
      <c r="AY171" s="43">
        <f t="shared" si="82"/>
        <v>80.693754385965008</v>
      </c>
    </row>
    <row r="172" spans="49:51" x14ac:dyDescent="0.2">
      <c r="AW172" s="46">
        <v>163</v>
      </c>
      <c r="AX172" s="44">
        <v>23.03</v>
      </c>
      <c r="AY172" s="43">
        <f t="shared" si="82"/>
        <v>81.677824561403611</v>
      </c>
    </row>
    <row r="173" spans="49:51" x14ac:dyDescent="0.2">
      <c r="AW173" s="46">
        <v>164</v>
      </c>
      <c r="AX173" s="44">
        <v>23.12</v>
      </c>
      <c r="AY173" s="43">
        <f t="shared" si="82"/>
        <v>82.661894736842214</v>
      </c>
    </row>
    <row r="174" spans="49:51" x14ac:dyDescent="0.2">
      <c r="AW174" s="46">
        <v>165</v>
      </c>
      <c r="AX174" s="44">
        <v>23.18</v>
      </c>
      <c r="AY174" s="43">
        <f t="shared" si="82"/>
        <v>83.645964912280817</v>
      </c>
    </row>
    <row r="175" spans="49:51" x14ac:dyDescent="0.2">
      <c r="AW175" s="46">
        <v>166</v>
      </c>
      <c r="AX175" s="44">
        <v>23.23</v>
      </c>
      <c r="AY175" s="43">
        <f t="shared" si="82"/>
        <v>84.630035087719421</v>
      </c>
    </row>
    <row r="176" spans="49:51" x14ac:dyDescent="0.2">
      <c r="AW176" s="46">
        <v>167</v>
      </c>
      <c r="AX176" s="44">
        <v>23.28</v>
      </c>
      <c r="AY176" s="43">
        <f t="shared" si="82"/>
        <v>85.614105263158024</v>
      </c>
    </row>
    <row r="177" spans="49:51" x14ac:dyDescent="0.2">
      <c r="AW177" s="46">
        <v>168</v>
      </c>
      <c r="AX177" s="44">
        <v>23.33</v>
      </c>
      <c r="AY177" s="43">
        <f t="shared" si="82"/>
        <v>86.598175438596627</v>
      </c>
    </row>
    <row r="178" spans="49:51" x14ac:dyDescent="0.2">
      <c r="AW178" s="46">
        <v>169</v>
      </c>
      <c r="AX178" s="44">
        <v>23.37</v>
      </c>
      <c r="AY178" s="43">
        <f t="shared" si="82"/>
        <v>87.58224561403523</v>
      </c>
    </row>
    <row r="179" spans="49:51" x14ac:dyDescent="0.2">
      <c r="AW179" s="46">
        <v>170</v>
      </c>
      <c r="AX179" s="44">
        <v>23.4</v>
      </c>
      <c r="AY179" s="43">
        <f t="shared" si="82"/>
        <v>88.566315789473833</v>
      </c>
    </row>
    <row r="180" spans="49:51" x14ac:dyDescent="0.2">
      <c r="AW180" s="46">
        <v>171</v>
      </c>
      <c r="AX180" s="44">
        <v>23.42</v>
      </c>
      <c r="AY180" s="43">
        <f t="shared" si="82"/>
        <v>89.550385964912437</v>
      </c>
    </row>
    <row r="181" spans="49:51" x14ac:dyDescent="0.2">
      <c r="AW181" s="46">
        <v>172</v>
      </c>
      <c r="AX181" s="44">
        <v>23.43</v>
      </c>
      <c r="AY181" s="43">
        <f t="shared" si="82"/>
        <v>90.53445614035104</v>
      </c>
    </row>
    <row r="182" spans="49:51" x14ac:dyDescent="0.2">
      <c r="AW182" s="46">
        <v>173</v>
      </c>
      <c r="AX182" s="44">
        <v>23.43</v>
      </c>
      <c r="AY182" s="43">
        <f t="shared" si="82"/>
        <v>91.518526315789643</v>
      </c>
    </row>
    <row r="183" spans="49:51" x14ac:dyDescent="0.2">
      <c r="AW183" s="46">
        <v>174</v>
      </c>
      <c r="AX183" s="44">
        <v>23.43</v>
      </c>
      <c r="AY183" s="43">
        <f t="shared" si="82"/>
        <v>92.502596491228246</v>
      </c>
    </row>
    <row r="184" spans="49:51" x14ac:dyDescent="0.2">
      <c r="AW184" s="46">
        <v>175</v>
      </c>
      <c r="AX184" s="44">
        <v>23.43</v>
      </c>
      <c r="AY184" s="43">
        <f t="shared" si="82"/>
        <v>93.486666666666849</v>
      </c>
    </row>
    <row r="185" spans="49:51" x14ac:dyDescent="0.2">
      <c r="AW185" s="46">
        <v>176</v>
      </c>
      <c r="AX185" s="44">
        <v>23.42</v>
      </c>
      <c r="AY185" s="43">
        <f t="shared" si="82"/>
        <v>94.470736842105453</v>
      </c>
    </row>
    <row r="186" spans="49:51" x14ac:dyDescent="0.2">
      <c r="AW186" s="46">
        <v>177</v>
      </c>
      <c r="AX186" s="44">
        <v>23.4</v>
      </c>
      <c r="AY186" s="43">
        <f t="shared" si="82"/>
        <v>95.454807017544056</v>
      </c>
    </row>
    <row r="187" spans="49:51" x14ac:dyDescent="0.2">
      <c r="AW187" s="46">
        <v>178</v>
      </c>
      <c r="AX187" s="44">
        <v>23.38</v>
      </c>
      <c r="AY187" s="43">
        <f t="shared" si="82"/>
        <v>96.438877192982659</v>
      </c>
    </row>
    <row r="188" spans="49:51" x14ac:dyDescent="0.2">
      <c r="AW188" s="46">
        <v>179</v>
      </c>
      <c r="AX188" s="44">
        <v>23.35</v>
      </c>
      <c r="AY188" s="43">
        <f t="shared" si="82"/>
        <v>97.422947368421262</v>
      </c>
    </row>
    <row r="189" spans="49:51" x14ac:dyDescent="0.2">
      <c r="AW189" s="46">
        <v>180</v>
      </c>
      <c r="AX189" s="44">
        <v>23.32</v>
      </c>
      <c r="AY189" s="43">
        <f t="shared" si="82"/>
        <v>98.407017543859865</v>
      </c>
    </row>
    <row r="190" spans="49:51" x14ac:dyDescent="0.2">
      <c r="AW190" s="46">
        <v>181</v>
      </c>
      <c r="AX190" s="44">
        <v>23.27</v>
      </c>
      <c r="AY190" s="43">
        <f t="shared" si="82"/>
        <v>99.391087719298469</v>
      </c>
    </row>
    <row r="191" spans="49:51" x14ac:dyDescent="0.2">
      <c r="AW191" s="46">
        <v>182</v>
      </c>
      <c r="AX191" s="44">
        <v>23.22</v>
      </c>
      <c r="AY191" s="43">
        <f t="shared" si="82"/>
        <v>100.37515789473707</v>
      </c>
    </row>
    <row r="192" spans="49:51" x14ac:dyDescent="0.2">
      <c r="AW192" s="46">
        <v>183</v>
      </c>
      <c r="AX192" s="44">
        <v>23.15</v>
      </c>
      <c r="AY192" s="43">
        <f t="shared" si="82"/>
        <v>101.35922807017567</v>
      </c>
    </row>
    <row r="193" spans="49:51" x14ac:dyDescent="0.2">
      <c r="AW193" s="46">
        <v>184</v>
      </c>
      <c r="AX193" s="44">
        <v>23.08</v>
      </c>
      <c r="AY193" s="43">
        <f t="shared" si="82"/>
        <v>102.34329824561428</v>
      </c>
    </row>
    <row r="194" spans="49:51" x14ac:dyDescent="0.2">
      <c r="AW194" s="46">
        <v>185</v>
      </c>
      <c r="AX194" s="44">
        <v>23.02</v>
      </c>
      <c r="AY194" s="43">
        <f t="shared" si="82"/>
        <v>103.32736842105288</v>
      </c>
    </row>
    <row r="195" spans="49:51" x14ac:dyDescent="0.2">
      <c r="AW195" s="46">
        <v>186</v>
      </c>
      <c r="AX195" s="44">
        <v>22.93</v>
      </c>
      <c r="AY195" s="43">
        <f t="shared" si="82"/>
        <v>104.31143859649148</v>
      </c>
    </row>
    <row r="196" spans="49:51" x14ac:dyDescent="0.2">
      <c r="AW196" s="46">
        <v>187</v>
      </c>
      <c r="AX196" s="44">
        <v>22.85</v>
      </c>
      <c r="AY196" s="43">
        <f t="shared" si="82"/>
        <v>105.29550877193009</v>
      </c>
    </row>
    <row r="197" spans="49:51" x14ac:dyDescent="0.2">
      <c r="AW197" s="46">
        <v>188</v>
      </c>
      <c r="AX197" s="44">
        <v>22.75</v>
      </c>
      <c r="AY197" s="43">
        <f t="shared" si="82"/>
        <v>106.27957894736869</v>
      </c>
    </row>
    <row r="198" spans="49:51" x14ac:dyDescent="0.2">
      <c r="AW198" s="46">
        <v>189</v>
      </c>
      <c r="AX198" s="44">
        <v>22.65</v>
      </c>
      <c r="AY198" s="43">
        <f t="shared" si="82"/>
        <v>107.26364912280729</v>
      </c>
    </row>
    <row r="199" spans="49:51" x14ac:dyDescent="0.2">
      <c r="AW199" s="46">
        <v>190</v>
      </c>
      <c r="AX199" s="44">
        <v>22.55</v>
      </c>
      <c r="AY199" s="43">
        <f t="shared" si="82"/>
        <v>108.2477192982459</v>
      </c>
    </row>
    <row r="200" spans="49:51" x14ac:dyDescent="0.2">
      <c r="AW200" s="46">
        <v>191</v>
      </c>
      <c r="AX200" s="44">
        <v>22.43</v>
      </c>
      <c r="AY200" s="43">
        <f t="shared" si="82"/>
        <v>109.2317894736845</v>
      </c>
    </row>
    <row r="201" spans="49:51" x14ac:dyDescent="0.2">
      <c r="AW201" s="46">
        <v>192</v>
      </c>
      <c r="AX201" s="44">
        <v>22.32</v>
      </c>
      <c r="AY201" s="43">
        <f t="shared" si="82"/>
        <v>110.2158596491231</v>
      </c>
    </row>
    <row r="202" spans="49:51" x14ac:dyDescent="0.2">
      <c r="AW202" s="46">
        <v>193</v>
      </c>
      <c r="AX202" s="44">
        <v>22.18</v>
      </c>
      <c r="AY202" s="43">
        <f t="shared" si="82"/>
        <v>111.19992982456171</v>
      </c>
    </row>
    <row r="203" spans="49:51" x14ac:dyDescent="0.2">
      <c r="AW203" s="46">
        <v>194</v>
      </c>
      <c r="AX203" s="44">
        <v>22.07</v>
      </c>
      <c r="AY203" s="43">
        <f t="shared" si="82"/>
        <v>112.18400000000031</v>
      </c>
    </row>
    <row r="204" spans="49:51" x14ac:dyDescent="0.2">
      <c r="AW204" s="46">
        <v>195</v>
      </c>
      <c r="AX204" s="44">
        <v>21.92</v>
      </c>
      <c r="AY204" s="43">
        <f t="shared" si="82"/>
        <v>113.16807017543891</v>
      </c>
    </row>
    <row r="205" spans="49:51" x14ac:dyDescent="0.2">
      <c r="AW205" s="46">
        <v>196</v>
      </c>
      <c r="AX205" s="44">
        <v>21.77</v>
      </c>
      <c r="AY205" s="43">
        <f t="shared" si="82"/>
        <v>114.15214035087752</v>
      </c>
    </row>
    <row r="206" spans="49:51" x14ac:dyDescent="0.2">
      <c r="AW206" s="46">
        <v>197</v>
      </c>
      <c r="AX206" s="44">
        <v>21.62</v>
      </c>
      <c r="AY206" s="43">
        <f t="shared" si="82"/>
        <v>115.13621052631612</v>
      </c>
    </row>
    <row r="207" spans="49:51" x14ac:dyDescent="0.2">
      <c r="AW207" s="46">
        <v>198</v>
      </c>
      <c r="AX207" s="44">
        <v>21.47</v>
      </c>
      <c r="AY207" s="43">
        <f t="shared" si="82"/>
        <v>116.12028070175472</v>
      </c>
    </row>
    <row r="208" spans="49:51" x14ac:dyDescent="0.2">
      <c r="AW208" s="46">
        <v>199</v>
      </c>
      <c r="AX208" s="44">
        <v>21.3</v>
      </c>
      <c r="AY208" s="43">
        <f t="shared" si="82"/>
        <v>117.10435087719333</v>
      </c>
    </row>
    <row r="209" spans="49:51" x14ac:dyDescent="0.2">
      <c r="AW209" s="46">
        <v>200</v>
      </c>
      <c r="AX209" s="44">
        <v>21.13</v>
      </c>
      <c r="AY209" s="43">
        <f t="shared" si="82"/>
        <v>118.08842105263193</v>
      </c>
    </row>
    <row r="210" spans="49:51" x14ac:dyDescent="0.2">
      <c r="AW210" s="46">
        <v>201</v>
      </c>
      <c r="AX210" s="44">
        <v>20.97</v>
      </c>
      <c r="AY210" s="43">
        <f t="shared" si="82"/>
        <v>119.07249122807053</v>
      </c>
    </row>
    <row r="211" spans="49:51" x14ac:dyDescent="0.2">
      <c r="AW211" s="46">
        <v>202</v>
      </c>
      <c r="AX211" s="44">
        <v>20.78</v>
      </c>
      <c r="AY211" s="43">
        <f t="shared" si="82"/>
        <v>120.05656140350914</v>
      </c>
    </row>
    <row r="212" spans="49:51" x14ac:dyDescent="0.2">
      <c r="AW212" s="46">
        <v>203</v>
      </c>
      <c r="AX212" s="44">
        <v>20.6</v>
      </c>
      <c r="AY212" s="43">
        <f t="shared" si="82"/>
        <v>121.04063157894774</v>
      </c>
    </row>
    <row r="213" spans="49:51" x14ac:dyDescent="0.2">
      <c r="AW213" s="46">
        <v>204</v>
      </c>
      <c r="AX213" s="44">
        <v>20.399999999999999</v>
      </c>
      <c r="AY213" s="43">
        <f t="shared" si="82"/>
        <v>122.02470175438634</v>
      </c>
    </row>
    <row r="214" spans="49:51" x14ac:dyDescent="0.2">
      <c r="AW214" s="46">
        <v>205</v>
      </c>
      <c r="AX214" s="44">
        <v>20.2</v>
      </c>
      <c r="AY214" s="43">
        <f t="shared" si="82"/>
        <v>123.00877192982495</v>
      </c>
    </row>
    <row r="215" spans="49:51" x14ac:dyDescent="0.2">
      <c r="AW215" s="46">
        <v>206</v>
      </c>
      <c r="AX215" s="44">
        <v>20</v>
      </c>
      <c r="AY215" s="43">
        <f t="shared" si="82"/>
        <v>123.99284210526355</v>
      </c>
    </row>
    <row r="216" spans="49:51" x14ac:dyDescent="0.2">
      <c r="AW216" s="46">
        <v>207</v>
      </c>
      <c r="AX216" s="44">
        <v>19.78</v>
      </c>
      <c r="AY216" s="43">
        <f t="shared" si="82"/>
        <v>124.97691228070215</v>
      </c>
    </row>
    <row r="217" spans="49:51" x14ac:dyDescent="0.2">
      <c r="AW217" s="46">
        <v>208</v>
      </c>
      <c r="AX217" s="44">
        <v>19.57</v>
      </c>
      <c r="AY217" s="43">
        <f t="shared" si="82"/>
        <v>125.96098245614075</v>
      </c>
    </row>
    <row r="218" spans="49:51" x14ac:dyDescent="0.2">
      <c r="AW218" s="46">
        <v>209</v>
      </c>
      <c r="AX218" s="44">
        <v>19.350000000000001</v>
      </c>
      <c r="AY218" s="43">
        <f t="shared" si="82"/>
        <v>126.94505263157936</v>
      </c>
    </row>
    <row r="219" spans="49:51" x14ac:dyDescent="0.2">
      <c r="AW219" s="46">
        <v>210</v>
      </c>
      <c r="AX219" s="44">
        <v>19.13</v>
      </c>
      <c r="AY219" s="43">
        <f t="shared" ref="AY219:AY282" si="83">AY218+280.46/285</f>
        <v>127.92912280701796</v>
      </c>
    </row>
    <row r="220" spans="49:51" x14ac:dyDescent="0.2">
      <c r="AW220" s="46">
        <v>211</v>
      </c>
      <c r="AX220" s="44">
        <v>18.899999999999999</v>
      </c>
      <c r="AY220" s="43">
        <f t="shared" si="83"/>
        <v>128.91319298245656</v>
      </c>
    </row>
    <row r="221" spans="49:51" x14ac:dyDescent="0.2">
      <c r="AW221" s="46">
        <v>212</v>
      </c>
      <c r="AX221" s="44">
        <v>18.670000000000002</v>
      </c>
      <c r="AY221" s="43">
        <f t="shared" si="83"/>
        <v>129.89726315789517</v>
      </c>
    </row>
    <row r="222" spans="49:51" x14ac:dyDescent="0.2">
      <c r="AW222" s="46">
        <v>213</v>
      </c>
      <c r="AX222" s="44">
        <v>18.420000000000002</v>
      </c>
      <c r="AY222" s="43">
        <f t="shared" si="83"/>
        <v>130.88133333333377</v>
      </c>
    </row>
    <row r="223" spans="49:51" x14ac:dyDescent="0.2">
      <c r="AW223" s="46">
        <v>214</v>
      </c>
      <c r="AX223" s="44">
        <v>18.170000000000002</v>
      </c>
      <c r="AY223" s="43">
        <f t="shared" si="83"/>
        <v>131.86540350877237</v>
      </c>
    </row>
    <row r="224" spans="49:51" x14ac:dyDescent="0.2">
      <c r="AW224" s="46">
        <v>215</v>
      </c>
      <c r="AX224" s="44">
        <v>17.920000000000002</v>
      </c>
      <c r="AY224" s="43">
        <f t="shared" si="83"/>
        <v>132.84947368421098</v>
      </c>
    </row>
    <row r="225" spans="49:51" x14ac:dyDescent="0.2">
      <c r="AW225" s="46">
        <v>216</v>
      </c>
      <c r="AX225" s="44">
        <v>17.670000000000002</v>
      </c>
      <c r="AY225" s="43">
        <f t="shared" si="83"/>
        <v>133.83354385964958</v>
      </c>
    </row>
    <row r="226" spans="49:51" x14ac:dyDescent="0.2">
      <c r="AW226" s="46">
        <v>217</v>
      </c>
      <c r="AX226" s="44">
        <v>17.399999999999999</v>
      </c>
      <c r="AY226" s="43">
        <f t="shared" si="83"/>
        <v>134.81761403508818</v>
      </c>
    </row>
    <row r="227" spans="49:51" x14ac:dyDescent="0.2">
      <c r="AW227" s="46">
        <v>218</v>
      </c>
      <c r="AX227" s="44">
        <v>17.13</v>
      </c>
      <c r="AY227" s="43">
        <f t="shared" si="83"/>
        <v>135.80168421052679</v>
      </c>
    </row>
    <row r="228" spans="49:51" x14ac:dyDescent="0.2">
      <c r="AW228" s="46">
        <v>219</v>
      </c>
      <c r="AX228" s="44">
        <v>16.87</v>
      </c>
      <c r="AY228" s="43">
        <f t="shared" si="83"/>
        <v>136.78575438596539</v>
      </c>
    </row>
    <row r="229" spans="49:51" x14ac:dyDescent="0.2">
      <c r="AW229" s="46">
        <v>220</v>
      </c>
      <c r="AX229" s="44">
        <v>16.600000000000001</v>
      </c>
      <c r="AY229" s="43">
        <f t="shared" si="83"/>
        <v>137.76982456140399</v>
      </c>
    </row>
    <row r="230" spans="49:51" x14ac:dyDescent="0.2">
      <c r="AW230" s="46">
        <v>221</v>
      </c>
      <c r="AX230" s="44">
        <v>16.32</v>
      </c>
      <c r="AY230" s="43">
        <f t="shared" si="83"/>
        <v>138.7538947368426</v>
      </c>
    </row>
    <row r="231" spans="49:51" x14ac:dyDescent="0.2">
      <c r="AW231" s="46">
        <v>222</v>
      </c>
      <c r="AX231" s="44">
        <v>16.03</v>
      </c>
      <c r="AY231" s="43">
        <f t="shared" si="83"/>
        <v>139.7379649122812</v>
      </c>
    </row>
    <row r="232" spans="49:51" x14ac:dyDescent="0.2">
      <c r="AW232" s="46">
        <v>223</v>
      </c>
      <c r="AX232" s="44">
        <v>15.75</v>
      </c>
      <c r="AY232" s="43">
        <f t="shared" si="83"/>
        <v>140.7220350877198</v>
      </c>
    </row>
    <row r="233" spans="49:51" x14ac:dyDescent="0.2">
      <c r="AW233" s="46">
        <v>224</v>
      </c>
      <c r="AX233" s="44">
        <v>15.45</v>
      </c>
      <c r="AY233" s="43">
        <f t="shared" si="83"/>
        <v>141.70610526315841</v>
      </c>
    </row>
    <row r="234" spans="49:51" x14ac:dyDescent="0.2">
      <c r="AW234" s="46">
        <v>225</v>
      </c>
      <c r="AX234" s="44">
        <v>15.17</v>
      </c>
      <c r="AY234" s="43">
        <f t="shared" si="83"/>
        <v>142.69017543859701</v>
      </c>
    </row>
    <row r="235" spans="49:51" x14ac:dyDescent="0.2">
      <c r="AW235" s="46">
        <v>226</v>
      </c>
      <c r="AX235" s="44">
        <v>14.87</v>
      </c>
      <c r="AY235" s="43">
        <f t="shared" si="83"/>
        <v>143.67424561403561</v>
      </c>
    </row>
    <row r="236" spans="49:51" x14ac:dyDescent="0.2">
      <c r="AW236" s="46">
        <v>227</v>
      </c>
      <c r="AX236" s="44">
        <v>14.55</v>
      </c>
      <c r="AY236" s="43">
        <f t="shared" si="83"/>
        <v>144.65831578947422</v>
      </c>
    </row>
    <row r="237" spans="49:51" x14ac:dyDescent="0.2">
      <c r="AW237" s="46">
        <v>228</v>
      </c>
      <c r="AX237" s="44">
        <v>14.25</v>
      </c>
      <c r="AY237" s="43">
        <f t="shared" si="83"/>
        <v>145.64238596491282</v>
      </c>
    </row>
    <row r="238" spans="49:51" x14ac:dyDescent="0.2">
      <c r="AW238" s="46">
        <v>229</v>
      </c>
      <c r="AX238" s="44">
        <v>13.93</v>
      </c>
      <c r="AY238" s="43">
        <f t="shared" si="83"/>
        <v>146.62645614035142</v>
      </c>
    </row>
    <row r="239" spans="49:51" x14ac:dyDescent="0.2">
      <c r="AW239" s="46">
        <v>230</v>
      </c>
      <c r="AX239" s="44">
        <v>13.62</v>
      </c>
      <c r="AY239" s="43">
        <f t="shared" si="83"/>
        <v>147.61052631579003</v>
      </c>
    </row>
    <row r="240" spans="49:51" x14ac:dyDescent="0.2">
      <c r="AW240" s="46">
        <v>231</v>
      </c>
      <c r="AX240" s="44">
        <v>13.3</v>
      </c>
      <c r="AY240" s="43">
        <f t="shared" si="83"/>
        <v>148.59459649122863</v>
      </c>
    </row>
    <row r="241" spans="49:51" x14ac:dyDescent="0.2">
      <c r="AW241" s="46">
        <v>232</v>
      </c>
      <c r="AX241" s="44">
        <v>12.98</v>
      </c>
      <c r="AY241" s="43">
        <f t="shared" si="83"/>
        <v>149.57866666666723</v>
      </c>
    </row>
    <row r="242" spans="49:51" x14ac:dyDescent="0.2">
      <c r="AW242" s="46">
        <v>233</v>
      </c>
      <c r="AX242" s="44">
        <v>12.65</v>
      </c>
      <c r="AY242" s="43">
        <f t="shared" si="83"/>
        <v>150.56273684210583</v>
      </c>
    </row>
    <row r="243" spans="49:51" x14ac:dyDescent="0.2">
      <c r="AW243" s="46">
        <v>234</v>
      </c>
      <c r="AX243" s="44">
        <v>12.32</v>
      </c>
      <c r="AY243" s="43">
        <f t="shared" si="83"/>
        <v>151.54680701754444</v>
      </c>
    </row>
    <row r="244" spans="49:51" x14ac:dyDescent="0.2">
      <c r="AW244" s="46">
        <v>235</v>
      </c>
      <c r="AX244" s="44">
        <v>11.98</v>
      </c>
      <c r="AY244" s="43">
        <f t="shared" si="83"/>
        <v>152.53087719298304</v>
      </c>
    </row>
    <row r="245" spans="49:51" x14ac:dyDescent="0.2">
      <c r="AW245" s="46">
        <v>236</v>
      </c>
      <c r="AX245" s="44">
        <v>11.65</v>
      </c>
      <c r="AY245" s="43">
        <f t="shared" si="83"/>
        <v>153.51494736842164</v>
      </c>
    </row>
    <row r="246" spans="49:51" x14ac:dyDescent="0.2">
      <c r="AW246" s="46">
        <v>237</v>
      </c>
      <c r="AX246" s="44">
        <v>11.32</v>
      </c>
      <c r="AY246" s="43">
        <f t="shared" si="83"/>
        <v>154.49901754386025</v>
      </c>
    </row>
    <row r="247" spans="49:51" x14ac:dyDescent="0.2">
      <c r="AW247" s="46">
        <v>238</v>
      </c>
      <c r="AX247" s="44">
        <v>10.97</v>
      </c>
      <c r="AY247" s="43">
        <f t="shared" si="83"/>
        <v>155.48308771929885</v>
      </c>
    </row>
    <row r="248" spans="49:51" x14ac:dyDescent="0.2">
      <c r="AW248" s="46">
        <v>239</v>
      </c>
      <c r="AX248" s="44">
        <v>10.63</v>
      </c>
      <c r="AY248" s="43">
        <f t="shared" si="83"/>
        <v>156.46715789473745</v>
      </c>
    </row>
    <row r="249" spans="49:51" x14ac:dyDescent="0.2">
      <c r="AW249" s="46">
        <v>240</v>
      </c>
      <c r="AX249" s="44">
        <v>10.28</v>
      </c>
      <c r="AY249" s="43">
        <f t="shared" si="83"/>
        <v>157.45122807017606</v>
      </c>
    </row>
    <row r="250" spans="49:51" x14ac:dyDescent="0.2">
      <c r="AW250" s="46">
        <v>241</v>
      </c>
      <c r="AX250" s="44">
        <v>9.93</v>
      </c>
      <c r="AY250" s="43">
        <f t="shared" si="83"/>
        <v>158.43529824561466</v>
      </c>
    </row>
    <row r="251" spans="49:51" x14ac:dyDescent="0.2">
      <c r="AW251" s="46">
        <v>242</v>
      </c>
      <c r="AX251" s="44">
        <v>9.58</v>
      </c>
      <c r="AY251" s="43">
        <f t="shared" si="83"/>
        <v>159.41936842105326</v>
      </c>
    </row>
    <row r="252" spans="49:51" x14ac:dyDescent="0.2">
      <c r="AW252" s="46">
        <v>243</v>
      </c>
      <c r="AX252" s="44">
        <v>9.2200000000000006</v>
      </c>
      <c r="AY252" s="43">
        <f t="shared" si="83"/>
        <v>160.40343859649187</v>
      </c>
    </row>
    <row r="253" spans="49:51" x14ac:dyDescent="0.2">
      <c r="AW253" s="46">
        <v>244</v>
      </c>
      <c r="AX253" s="44">
        <v>8.8699999999999992</v>
      </c>
      <c r="AY253" s="43">
        <f t="shared" si="83"/>
        <v>161.38750877193047</v>
      </c>
    </row>
    <row r="254" spans="49:51" x14ac:dyDescent="0.2">
      <c r="AW254" s="46">
        <v>245</v>
      </c>
      <c r="AX254" s="44">
        <v>8.5</v>
      </c>
      <c r="AY254" s="43">
        <f t="shared" si="83"/>
        <v>162.37157894736907</v>
      </c>
    </row>
    <row r="255" spans="49:51" x14ac:dyDescent="0.2">
      <c r="AW255" s="46">
        <v>246</v>
      </c>
      <c r="AX255" s="44">
        <v>8.15</v>
      </c>
      <c r="AY255" s="43">
        <f t="shared" si="83"/>
        <v>163.35564912280768</v>
      </c>
    </row>
    <row r="256" spans="49:51" x14ac:dyDescent="0.2">
      <c r="AW256" s="46">
        <v>247</v>
      </c>
      <c r="AX256" s="44">
        <v>7.78</v>
      </c>
      <c r="AY256" s="43">
        <f t="shared" si="83"/>
        <v>164.33971929824628</v>
      </c>
    </row>
    <row r="257" spans="49:51" x14ac:dyDescent="0.2">
      <c r="AW257" s="46">
        <v>248</v>
      </c>
      <c r="AX257" s="44">
        <v>7.42</v>
      </c>
      <c r="AY257" s="43">
        <f t="shared" si="83"/>
        <v>165.32378947368488</v>
      </c>
    </row>
    <row r="258" spans="49:51" x14ac:dyDescent="0.2">
      <c r="AW258" s="46">
        <v>249</v>
      </c>
      <c r="AX258" s="44">
        <v>7.05</v>
      </c>
      <c r="AY258" s="43">
        <f t="shared" si="83"/>
        <v>166.30785964912349</v>
      </c>
    </row>
    <row r="259" spans="49:51" x14ac:dyDescent="0.2">
      <c r="AW259" s="46">
        <v>250</v>
      </c>
      <c r="AX259" s="44">
        <v>6.67</v>
      </c>
      <c r="AY259" s="43">
        <f t="shared" si="83"/>
        <v>167.29192982456209</v>
      </c>
    </row>
    <row r="260" spans="49:51" x14ac:dyDescent="0.2">
      <c r="AW260" s="46">
        <v>251</v>
      </c>
      <c r="AX260" s="44">
        <v>6.3</v>
      </c>
      <c r="AY260" s="43">
        <f t="shared" si="83"/>
        <v>168.27600000000069</v>
      </c>
    </row>
    <row r="261" spans="49:51" x14ac:dyDescent="0.2">
      <c r="AW261" s="46">
        <v>252</v>
      </c>
      <c r="AX261" s="44">
        <v>5.93</v>
      </c>
      <c r="AY261" s="43">
        <f t="shared" si="83"/>
        <v>169.2600701754393</v>
      </c>
    </row>
    <row r="262" spans="49:51" x14ac:dyDescent="0.2">
      <c r="AW262" s="46">
        <v>253</v>
      </c>
      <c r="AX262" s="44">
        <v>5.55</v>
      </c>
      <c r="AY262" s="43">
        <f t="shared" si="83"/>
        <v>170.2441403508779</v>
      </c>
    </row>
    <row r="263" spans="49:51" x14ac:dyDescent="0.2">
      <c r="AW263" s="46">
        <v>254</v>
      </c>
      <c r="AX263" s="44">
        <v>5.17</v>
      </c>
      <c r="AY263" s="43">
        <f t="shared" si="83"/>
        <v>171.2282105263165</v>
      </c>
    </row>
    <row r="264" spans="49:51" x14ac:dyDescent="0.2">
      <c r="AW264" s="46">
        <v>255</v>
      </c>
      <c r="AX264" s="44">
        <v>4.8</v>
      </c>
      <c r="AY264" s="43">
        <f t="shared" si="83"/>
        <v>172.21228070175511</v>
      </c>
    </row>
    <row r="265" spans="49:51" x14ac:dyDescent="0.2">
      <c r="AW265" s="46">
        <v>256</v>
      </c>
      <c r="AX265" s="44">
        <v>4.42</v>
      </c>
      <c r="AY265" s="43">
        <f t="shared" si="83"/>
        <v>173.19635087719371</v>
      </c>
    </row>
    <row r="266" spans="49:51" x14ac:dyDescent="0.2">
      <c r="AW266" s="46">
        <v>257</v>
      </c>
      <c r="AX266" s="44">
        <v>4.03</v>
      </c>
      <c r="AY266" s="43">
        <f t="shared" si="83"/>
        <v>174.18042105263231</v>
      </c>
    </row>
    <row r="267" spans="49:51" x14ac:dyDescent="0.2">
      <c r="AW267" s="46">
        <v>258</v>
      </c>
      <c r="AX267" s="44">
        <v>3.65</v>
      </c>
      <c r="AY267" s="43">
        <f t="shared" si="83"/>
        <v>175.16449122807091</v>
      </c>
    </row>
    <row r="268" spans="49:51" x14ac:dyDescent="0.2">
      <c r="AW268" s="46">
        <v>259</v>
      </c>
      <c r="AX268" s="44">
        <v>3.27</v>
      </c>
      <c r="AY268" s="43">
        <f t="shared" si="83"/>
        <v>176.14856140350952</v>
      </c>
    </row>
    <row r="269" spans="49:51" x14ac:dyDescent="0.2">
      <c r="AW269" s="46">
        <v>260</v>
      </c>
      <c r="AX269" s="44">
        <v>2.88</v>
      </c>
      <c r="AY269" s="43">
        <f t="shared" si="83"/>
        <v>177.13263157894812</v>
      </c>
    </row>
    <row r="270" spans="49:51" x14ac:dyDescent="0.2">
      <c r="AW270" s="46">
        <v>261</v>
      </c>
      <c r="AX270" s="44">
        <v>2.5</v>
      </c>
      <c r="AY270" s="43">
        <f t="shared" si="83"/>
        <v>178.11670175438672</v>
      </c>
    </row>
    <row r="271" spans="49:51" x14ac:dyDescent="0.2">
      <c r="AW271" s="46">
        <v>262</v>
      </c>
      <c r="AX271" s="44">
        <v>2.1</v>
      </c>
      <c r="AY271" s="43">
        <f t="shared" si="83"/>
        <v>179.10077192982533</v>
      </c>
    </row>
    <row r="272" spans="49:51" x14ac:dyDescent="0.2">
      <c r="AW272" s="46">
        <v>263</v>
      </c>
      <c r="AX272" s="44">
        <v>1.72</v>
      </c>
      <c r="AY272" s="43">
        <f t="shared" si="83"/>
        <v>180.08484210526393</v>
      </c>
    </row>
    <row r="273" spans="49:51" x14ac:dyDescent="0.2">
      <c r="AW273" s="46">
        <v>264</v>
      </c>
      <c r="AX273" s="44">
        <v>1.33</v>
      </c>
      <c r="AY273" s="43">
        <f t="shared" si="83"/>
        <v>181.06891228070253</v>
      </c>
    </row>
    <row r="274" spans="49:51" x14ac:dyDescent="0.2">
      <c r="AW274" s="46">
        <v>265</v>
      </c>
      <c r="AX274" s="44">
        <v>0.95</v>
      </c>
      <c r="AY274" s="43">
        <f t="shared" si="83"/>
        <v>182.05298245614114</v>
      </c>
    </row>
    <row r="275" spans="49:51" x14ac:dyDescent="0.2">
      <c r="AW275" s="46">
        <v>266</v>
      </c>
      <c r="AX275" s="44">
        <v>0.55000000000000004</v>
      </c>
      <c r="AY275" s="43">
        <f t="shared" si="83"/>
        <v>183.03705263157974</v>
      </c>
    </row>
    <row r="276" spans="49:51" x14ac:dyDescent="0.2">
      <c r="AW276" s="46">
        <v>267</v>
      </c>
      <c r="AX276" s="44">
        <v>0.17</v>
      </c>
      <c r="AY276" s="43">
        <f t="shared" si="83"/>
        <v>184.02112280701834</v>
      </c>
    </row>
    <row r="277" spans="49:51" x14ac:dyDescent="0.2">
      <c r="AW277" s="46">
        <v>268</v>
      </c>
      <c r="AX277" s="44">
        <v>-0.23</v>
      </c>
      <c r="AY277" s="43">
        <f t="shared" si="83"/>
        <v>185.00519298245695</v>
      </c>
    </row>
    <row r="278" spans="49:51" x14ac:dyDescent="0.2">
      <c r="AW278" s="46">
        <v>269</v>
      </c>
      <c r="AX278" s="44">
        <v>-0.62</v>
      </c>
      <c r="AY278" s="43">
        <f t="shared" si="83"/>
        <v>185.98926315789555</v>
      </c>
    </row>
    <row r="279" spans="49:51" x14ac:dyDescent="0.2">
      <c r="AW279" s="46">
        <v>270</v>
      </c>
      <c r="AX279" s="44">
        <v>-1</v>
      </c>
      <c r="AY279" s="43">
        <f t="shared" si="83"/>
        <v>186.97333333333415</v>
      </c>
    </row>
    <row r="280" spans="49:51" x14ac:dyDescent="0.2">
      <c r="AW280" s="46">
        <v>271</v>
      </c>
      <c r="AX280" s="44">
        <v>-1.4</v>
      </c>
      <c r="AY280" s="43">
        <f t="shared" si="83"/>
        <v>187.95740350877276</v>
      </c>
    </row>
    <row r="281" spans="49:51" x14ac:dyDescent="0.2">
      <c r="AW281" s="46">
        <v>272</v>
      </c>
      <c r="AX281" s="44">
        <v>-1.78</v>
      </c>
      <c r="AY281" s="43">
        <f t="shared" si="83"/>
        <v>188.94147368421136</v>
      </c>
    </row>
    <row r="282" spans="49:51" x14ac:dyDescent="0.2">
      <c r="AW282" s="46">
        <v>273</v>
      </c>
      <c r="AX282" s="44">
        <v>-2.17</v>
      </c>
      <c r="AY282" s="43">
        <f t="shared" si="83"/>
        <v>189.92554385964996</v>
      </c>
    </row>
    <row r="283" spans="49:51" x14ac:dyDescent="0.2">
      <c r="AW283" s="46">
        <v>274</v>
      </c>
      <c r="AX283" s="44">
        <v>-2.57</v>
      </c>
      <c r="AY283" s="43">
        <f t="shared" ref="AY283:AY346" si="84">AY282+280.46/285</f>
        <v>190.90961403508857</v>
      </c>
    </row>
    <row r="284" spans="49:51" x14ac:dyDescent="0.2">
      <c r="AW284" s="46">
        <v>275</v>
      </c>
      <c r="AX284" s="44">
        <v>-2.95</v>
      </c>
      <c r="AY284" s="43">
        <f t="shared" si="84"/>
        <v>191.89368421052717</v>
      </c>
    </row>
    <row r="285" spans="49:51" x14ac:dyDescent="0.2">
      <c r="AW285" s="46">
        <v>276</v>
      </c>
      <c r="AX285" s="44">
        <v>-3.33</v>
      </c>
      <c r="AY285" s="43">
        <f t="shared" si="84"/>
        <v>192.87775438596577</v>
      </c>
    </row>
    <row r="286" spans="49:51" x14ac:dyDescent="0.2">
      <c r="AW286" s="46">
        <v>277</v>
      </c>
      <c r="AX286" s="44">
        <v>-3.73</v>
      </c>
      <c r="AY286" s="43">
        <f t="shared" si="84"/>
        <v>193.86182456140438</v>
      </c>
    </row>
    <row r="287" spans="49:51" x14ac:dyDescent="0.2">
      <c r="AW287" s="46">
        <v>278</v>
      </c>
      <c r="AX287" s="44">
        <v>-4.12</v>
      </c>
      <c r="AY287" s="43">
        <f t="shared" si="84"/>
        <v>194.84589473684298</v>
      </c>
    </row>
    <row r="288" spans="49:51" x14ac:dyDescent="0.2">
      <c r="AW288" s="46">
        <v>279</v>
      </c>
      <c r="AX288" s="44">
        <v>-4.5</v>
      </c>
      <c r="AY288" s="43">
        <f t="shared" si="84"/>
        <v>195.82996491228158</v>
      </c>
    </row>
    <row r="289" spans="49:51" x14ac:dyDescent="0.2">
      <c r="AW289" s="46">
        <v>280</v>
      </c>
      <c r="AX289" s="44">
        <v>-4.88</v>
      </c>
      <c r="AY289" s="43">
        <f t="shared" si="84"/>
        <v>196.81403508772019</v>
      </c>
    </row>
    <row r="290" spans="49:51" x14ac:dyDescent="0.2">
      <c r="AW290" s="46">
        <v>281</v>
      </c>
      <c r="AX290" s="44">
        <v>-5.27</v>
      </c>
      <c r="AY290" s="43">
        <f t="shared" si="84"/>
        <v>197.79810526315879</v>
      </c>
    </row>
    <row r="291" spans="49:51" x14ac:dyDescent="0.2">
      <c r="AW291" s="46">
        <v>282</v>
      </c>
      <c r="AX291" s="44">
        <v>-5.65</v>
      </c>
      <c r="AY291" s="43">
        <f t="shared" si="84"/>
        <v>198.78217543859739</v>
      </c>
    </row>
    <row r="292" spans="49:51" x14ac:dyDescent="0.2">
      <c r="AW292" s="46">
        <v>283</v>
      </c>
      <c r="AX292" s="44">
        <v>-6.03</v>
      </c>
      <c r="AY292" s="43">
        <f t="shared" si="84"/>
        <v>199.766245614036</v>
      </c>
    </row>
    <row r="293" spans="49:51" x14ac:dyDescent="0.2">
      <c r="AW293" s="46">
        <v>284</v>
      </c>
      <c r="AX293" s="44">
        <v>-6.42</v>
      </c>
      <c r="AY293" s="43">
        <f t="shared" si="84"/>
        <v>200.7503157894746</v>
      </c>
    </row>
    <row r="294" spans="49:51" x14ac:dyDescent="0.2">
      <c r="AW294" s="46">
        <v>285</v>
      </c>
      <c r="AX294" s="44">
        <v>-6.8</v>
      </c>
      <c r="AY294" s="43">
        <f t="shared" si="84"/>
        <v>201.7343859649132</v>
      </c>
    </row>
    <row r="295" spans="49:51" x14ac:dyDescent="0.2">
      <c r="AW295" s="46">
        <v>286</v>
      </c>
      <c r="AX295" s="44">
        <v>-7.17</v>
      </c>
      <c r="AY295" s="43">
        <f t="shared" si="84"/>
        <v>202.7184561403518</v>
      </c>
    </row>
    <row r="296" spans="49:51" x14ac:dyDescent="0.2">
      <c r="AW296" s="46">
        <v>287</v>
      </c>
      <c r="AX296" s="44">
        <v>-7.53</v>
      </c>
      <c r="AY296" s="43">
        <f t="shared" si="84"/>
        <v>203.70252631579041</v>
      </c>
    </row>
    <row r="297" spans="49:51" x14ac:dyDescent="0.2">
      <c r="AW297" s="46">
        <v>288</v>
      </c>
      <c r="AX297" s="44">
        <v>-7.92</v>
      </c>
      <c r="AY297" s="43">
        <f t="shared" si="84"/>
        <v>204.68659649122901</v>
      </c>
    </row>
    <row r="298" spans="49:51" x14ac:dyDescent="0.2">
      <c r="AW298" s="46">
        <v>289</v>
      </c>
      <c r="AX298" s="44">
        <v>-8.3000000000000007</v>
      </c>
      <c r="AY298" s="43">
        <f t="shared" si="84"/>
        <v>205.67066666666761</v>
      </c>
    </row>
    <row r="299" spans="49:51" x14ac:dyDescent="0.2">
      <c r="AW299" s="46">
        <v>290</v>
      </c>
      <c r="AX299" s="44">
        <v>-8.67</v>
      </c>
      <c r="AY299" s="43">
        <f t="shared" si="84"/>
        <v>206.65473684210622</v>
      </c>
    </row>
    <row r="300" spans="49:51" x14ac:dyDescent="0.2">
      <c r="AW300" s="46">
        <v>291</v>
      </c>
      <c r="AX300" s="44">
        <v>-9.0299999999999994</v>
      </c>
      <c r="AY300" s="43">
        <f t="shared" si="84"/>
        <v>207.63880701754482</v>
      </c>
    </row>
    <row r="301" spans="49:51" x14ac:dyDescent="0.2">
      <c r="AW301" s="46">
        <v>292</v>
      </c>
      <c r="AX301" s="44">
        <v>-9.4</v>
      </c>
      <c r="AY301" s="43">
        <f t="shared" si="84"/>
        <v>208.62287719298342</v>
      </c>
    </row>
    <row r="302" spans="49:51" x14ac:dyDescent="0.2">
      <c r="AW302" s="46">
        <v>293</v>
      </c>
      <c r="AX302" s="44">
        <v>-9.75</v>
      </c>
      <c r="AY302" s="43">
        <f t="shared" si="84"/>
        <v>209.60694736842203</v>
      </c>
    </row>
    <row r="303" spans="49:51" x14ac:dyDescent="0.2">
      <c r="AW303" s="46">
        <v>294</v>
      </c>
      <c r="AX303" s="44">
        <v>-10.119999999999999</v>
      </c>
      <c r="AY303" s="43">
        <f t="shared" si="84"/>
        <v>210.59101754386063</v>
      </c>
    </row>
    <row r="304" spans="49:51" x14ac:dyDescent="0.2">
      <c r="AW304" s="46">
        <v>295</v>
      </c>
      <c r="AX304" s="44">
        <v>-10.48</v>
      </c>
      <c r="AY304" s="43">
        <f t="shared" si="84"/>
        <v>211.57508771929923</v>
      </c>
    </row>
    <row r="305" spans="49:51" x14ac:dyDescent="0.2">
      <c r="AW305" s="46">
        <v>296</v>
      </c>
      <c r="AX305" s="44">
        <v>-10.83</v>
      </c>
      <c r="AY305" s="43">
        <f t="shared" si="84"/>
        <v>212.55915789473784</v>
      </c>
    </row>
    <row r="306" spans="49:51" x14ac:dyDescent="0.2">
      <c r="AW306" s="46">
        <v>297</v>
      </c>
      <c r="AX306" s="44">
        <v>-11.2</v>
      </c>
      <c r="AY306" s="43">
        <f t="shared" si="84"/>
        <v>213.54322807017644</v>
      </c>
    </row>
    <row r="307" spans="49:51" x14ac:dyDescent="0.2">
      <c r="AW307" s="46">
        <v>298</v>
      </c>
      <c r="AX307" s="44">
        <v>-11.55</v>
      </c>
      <c r="AY307" s="43">
        <f t="shared" si="84"/>
        <v>214.52729824561504</v>
      </c>
    </row>
    <row r="308" spans="49:51" x14ac:dyDescent="0.2">
      <c r="AW308" s="46">
        <v>299</v>
      </c>
      <c r="AX308" s="44">
        <v>-11.9</v>
      </c>
      <c r="AY308" s="43">
        <f t="shared" si="84"/>
        <v>215.51136842105365</v>
      </c>
    </row>
    <row r="309" spans="49:51" x14ac:dyDescent="0.2">
      <c r="AW309" s="46">
        <v>300</v>
      </c>
      <c r="AX309" s="44">
        <v>-12.23</v>
      </c>
      <c r="AY309" s="43">
        <f t="shared" si="84"/>
        <v>216.49543859649225</v>
      </c>
    </row>
    <row r="310" spans="49:51" x14ac:dyDescent="0.2">
      <c r="AW310" s="46">
        <v>301</v>
      </c>
      <c r="AX310" s="44">
        <v>-12.58</v>
      </c>
      <c r="AY310" s="43">
        <f t="shared" si="84"/>
        <v>217.47950877193085</v>
      </c>
    </row>
    <row r="311" spans="49:51" x14ac:dyDescent="0.2">
      <c r="AW311" s="46">
        <v>302</v>
      </c>
      <c r="AX311" s="44">
        <v>-12.92</v>
      </c>
      <c r="AY311" s="43">
        <f t="shared" si="84"/>
        <v>218.46357894736946</v>
      </c>
    </row>
    <row r="312" spans="49:51" x14ac:dyDescent="0.2">
      <c r="AW312" s="46">
        <v>303</v>
      </c>
      <c r="AX312" s="44">
        <v>-13.25</v>
      </c>
      <c r="AY312" s="43">
        <f t="shared" si="84"/>
        <v>219.44764912280806</v>
      </c>
    </row>
    <row r="313" spans="49:51" x14ac:dyDescent="0.2">
      <c r="AW313" s="46">
        <v>304</v>
      </c>
      <c r="AX313" s="44">
        <v>-13.58</v>
      </c>
      <c r="AY313" s="43">
        <f t="shared" si="84"/>
        <v>220.43171929824666</v>
      </c>
    </row>
    <row r="314" spans="49:51" x14ac:dyDescent="0.2">
      <c r="AW314" s="46">
        <v>305</v>
      </c>
      <c r="AX314" s="44">
        <v>-13.92</v>
      </c>
      <c r="AY314" s="43">
        <f t="shared" si="84"/>
        <v>221.41578947368527</v>
      </c>
    </row>
    <row r="315" spans="49:51" x14ac:dyDescent="0.2">
      <c r="AW315" s="46">
        <v>306</v>
      </c>
      <c r="AX315" s="44">
        <v>-14.23</v>
      </c>
      <c r="AY315" s="43">
        <f t="shared" si="84"/>
        <v>222.39985964912387</v>
      </c>
    </row>
    <row r="316" spans="49:51" x14ac:dyDescent="0.2">
      <c r="AW316" s="46">
        <v>307</v>
      </c>
      <c r="AX316" s="44">
        <v>-14.57</v>
      </c>
      <c r="AY316" s="43">
        <f t="shared" si="84"/>
        <v>223.38392982456247</v>
      </c>
    </row>
    <row r="317" spans="49:51" x14ac:dyDescent="0.2">
      <c r="AW317" s="46">
        <v>308</v>
      </c>
      <c r="AX317" s="44">
        <v>-14.88</v>
      </c>
      <c r="AY317" s="43">
        <f t="shared" si="84"/>
        <v>224.36800000000108</v>
      </c>
    </row>
    <row r="318" spans="49:51" x14ac:dyDescent="0.2">
      <c r="AW318" s="46">
        <v>309</v>
      </c>
      <c r="AX318" s="44">
        <v>-15.18</v>
      </c>
      <c r="AY318" s="43">
        <f t="shared" si="84"/>
        <v>225.35207017543968</v>
      </c>
    </row>
    <row r="319" spans="49:51" x14ac:dyDescent="0.2">
      <c r="AW319" s="46">
        <v>310</v>
      </c>
      <c r="AX319" s="44">
        <v>-15.5</v>
      </c>
      <c r="AY319" s="43">
        <f t="shared" si="84"/>
        <v>226.33614035087828</v>
      </c>
    </row>
    <row r="320" spans="49:51" x14ac:dyDescent="0.2">
      <c r="AW320" s="46">
        <v>311</v>
      </c>
      <c r="AX320" s="44">
        <v>-15.8</v>
      </c>
      <c r="AY320" s="43">
        <f t="shared" si="84"/>
        <v>227.32021052631688</v>
      </c>
    </row>
    <row r="321" spans="49:51" x14ac:dyDescent="0.2">
      <c r="AW321" s="46">
        <v>312</v>
      </c>
      <c r="AX321" s="44">
        <v>-16.100000000000001</v>
      </c>
      <c r="AY321" s="43">
        <f t="shared" si="84"/>
        <v>228.30428070175549</v>
      </c>
    </row>
    <row r="322" spans="49:51" x14ac:dyDescent="0.2">
      <c r="AW322" s="46">
        <v>313</v>
      </c>
      <c r="AX322" s="44">
        <v>-16.399999999999999</v>
      </c>
      <c r="AY322" s="43">
        <f t="shared" si="84"/>
        <v>229.28835087719409</v>
      </c>
    </row>
    <row r="323" spans="49:51" x14ac:dyDescent="0.2">
      <c r="AW323" s="46">
        <v>314</v>
      </c>
      <c r="AX323" s="44">
        <v>-16.68</v>
      </c>
      <c r="AY323" s="43">
        <f t="shared" si="84"/>
        <v>230.27242105263269</v>
      </c>
    </row>
    <row r="324" spans="49:51" x14ac:dyDescent="0.2">
      <c r="AW324" s="46">
        <v>315</v>
      </c>
      <c r="AX324" s="44">
        <v>-16.97</v>
      </c>
      <c r="AY324" s="43">
        <f t="shared" si="84"/>
        <v>231.2564912280713</v>
      </c>
    </row>
    <row r="325" spans="49:51" x14ac:dyDescent="0.2">
      <c r="AW325" s="46">
        <v>316</v>
      </c>
      <c r="AX325" s="44">
        <v>-17.25</v>
      </c>
      <c r="AY325" s="43">
        <f t="shared" si="84"/>
        <v>232.2405614035099</v>
      </c>
    </row>
    <row r="326" spans="49:51" x14ac:dyDescent="0.2">
      <c r="AW326" s="46">
        <v>317</v>
      </c>
      <c r="AX326" s="44">
        <v>-17.53</v>
      </c>
      <c r="AY326" s="43">
        <f t="shared" si="84"/>
        <v>233.2246315789485</v>
      </c>
    </row>
    <row r="327" spans="49:51" x14ac:dyDescent="0.2">
      <c r="AW327" s="46">
        <v>318</v>
      </c>
      <c r="AX327" s="44">
        <v>-17.8</v>
      </c>
      <c r="AY327" s="43">
        <f t="shared" si="84"/>
        <v>234.20870175438711</v>
      </c>
    </row>
    <row r="328" spans="49:51" x14ac:dyDescent="0.2">
      <c r="AW328" s="46">
        <v>319</v>
      </c>
      <c r="AX328" s="44">
        <v>-18.07</v>
      </c>
      <c r="AY328" s="43">
        <f t="shared" si="84"/>
        <v>235.19277192982571</v>
      </c>
    </row>
    <row r="329" spans="49:51" x14ac:dyDescent="0.2">
      <c r="AW329" s="46">
        <v>320</v>
      </c>
      <c r="AX329" s="44">
        <v>-18.329999999999998</v>
      </c>
      <c r="AY329" s="43">
        <f t="shared" si="84"/>
        <v>236.17684210526431</v>
      </c>
    </row>
    <row r="330" spans="49:51" x14ac:dyDescent="0.2">
      <c r="AW330" s="46">
        <v>321</v>
      </c>
      <c r="AX330" s="44">
        <v>-18.579999999999998</v>
      </c>
      <c r="AY330" s="43">
        <f t="shared" si="84"/>
        <v>237.16091228070292</v>
      </c>
    </row>
    <row r="331" spans="49:51" x14ac:dyDescent="0.2">
      <c r="AW331" s="46">
        <v>322</v>
      </c>
      <c r="AX331" s="44">
        <v>-18.829999999999998</v>
      </c>
      <c r="AY331" s="43">
        <f t="shared" si="84"/>
        <v>238.14498245614152</v>
      </c>
    </row>
    <row r="332" spans="49:51" x14ac:dyDescent="0.2">
      <c r="AW332" s="46">
        <v>323</v>
      </c>
      <c r="AX332" s="44">
        <v>-19.079999999999998</v>
      </c>
      <c r="AY332" s="43">
        <f t="shared" si="84"/>
        <v>239.12905263158012</v>
      </c>
    </row>
    <row r="333" spans="49:51" x14ac:dyDescent="0.2">
      <c r="AW333" s="46">
        <v>324</v>
      </c>
      <c r="AX333" s="44">
        <v>-19.32</v>
      </c>
      <c r="AY333" s="43">
        <f t="shared" si="84"/>
        <v>240.11312280701873</v>
      </c>
    </row>
    <row r="334" spans="49:51" x14ac:dyDescent="0.2">
      <c r="AW334" s="46">
        <v>325</v>
      </c>
      <c r="AX334" s="44">
        <v>-19.55</v>
      </c>
      <c r="AY334" s="43">
        <f t="shared" si="84"/>
        <v>241.09719298245733</v>
      </c>
    </row>
    <row r="335" spans="49:51" x14ac:dyDescent="0.2">
      <c r="AW335" s="46">
        <v>326</v>
      </c>
      <c r="AX335" s="44">
        <v>-19.78</v>
      </c>
      <c r="AY335" s="43">
        <f t="shared" si="84"/>
        <v>242.08126315789593</v>
      </c>
    </row>
    <row r="336" spans="49:51" x14ac:dyDescent="0.2">
      <c r="AW336" s="46">
        <v>327</v>
      </c>
      <c r="AX336" s="44">
        <v>-20</v>
      </c>
      <c r="AY336" s="43">
        <f t="shared" si="84"/>
        <v>243.06533333333454</v>
      </c>
    </row>
    <row r="337" spans="49:51" x14ac:dyDescent="0.2">
      <c r="AW337" s="46">
        <v>328</v>
      </c>
      <c r="AX337" s="44">
        <v>-20.22</v>
      </c>
      <c r="AY337" s="43">
        <f t="shared" si="84"/>
        <v>244.04940350877314</v>
      </c>
    </row>
    <row r="338" spans="49:51" x14ac:dyDescent="0.2">
      <c r="AW338" s="46">
        <v>329</v>
      </c>
      <c r="AX338" s="44">
        <v>-20.43</v>
      </c>
      <c r="AY338" s="43">
        <f t="shared" si="84"/>
        <v>245.03347368421174</v>
      </c>
    </row>
    <row r="339" spans="49:51" x14ac:dyDescent="0.2">
      <c r="AW339" s="46">
        <v>330</v>
      </c>
      <c r="AX339" s="44">
        <v>-20.63</v>
      </c>
      <c r="AY339" s="43">
        <f t="shared" si="84"/>
        <v>246.01754385965035</v>
      </c>
    </row>
    <row r="340" spans="49:51" x14ac:dyDescent="0.2">
      <c r="AW340" s="46">
        <v>331</v>
      </c>
      <c r="AX340" s="44">
        <v>-20.83</v>
      </c>
      <c r="AY340" s="43">
        <f t="shared" si="84"/>
        <v>247.00161403508895</v>
      </c>
    </row>
    <row r="341" spans="49:51" x14ac:dyDescent="0.2">
      <c r="AW341" s="46">
        <v>332</v>
      </c>
      <c r="AX341" s="44">
        <v>-21.02</v>
      </c>
      <c r="AY341" s="43">
        <f t="shared" si="84"/>
        <v>247.98568421052755</v>
      </c>
    </row>
    <row r="342" spans="49:51" x14ac:dyDescent="0.2">
      <c r="AW342" s="46">
        <v>333</v>
      </c>
      <c r="AX342" s="44">
        <v>-21.2</v>
      </c>
      <c r="AY342" s="43">
        <f t="shared" si="84"/>
        <v>248.96975438596616</v>
      </c>
    </row>
    <row r="343" spans="49:51" x14ac:dyDescent="0.2">
      <c r="AW343" s="46">
        <v>334</v>
      </c>
      <c r="AX343" s="44">
        <v>-21.38</v>
      </c>
      <c r="AY343" s="43">
        <f t="shared" si="84"/>
        <v>249.95382456140476</v>
      </c>
    </row>
    <row r="344" spans="49:51" x14ac:dyDescent="0.2">
      <c r="AW344" s="46">
        <v>335</v>
      </c>
      <c r="AX344" s="44">
        <v>-21.55</v>
      </c>
      <c r="AY344" s="43">
        <f t="shared" si="84"/>
        <v>250.93789473684336</v>
      </c>
    </row>
    <row r="345" spans="49:51" x14ac:dyDescent="0.2">
      <c r="AW345" s="46">
        <v>336</v>
      </c>
      <c r="AX345" s="44">
        <v>-21.72</v>
      </c>
      <c r="AY345" s="43">
        <f t="shared" si="84"/>
        <v>251.92196491228196</v>
      </c>
    </row>
    <row r="346" spans="49:51" x14ac:dyDescent="0.2">
      <c r="AW346" s="46">
        <v>337</v>
      </c>
      <c r="AX346" s="44">
        <v>-21.87</v>
      </c>
      <c r="AY346" s="43">
        <f t="shared" si="84"/>
        <v>252.90603508772057</v>
      </c>
    </row>
    <row r="347" spans="49:51" x14ac:dyDescent="0.2">
      <c r="AW347" s="46">
        <v>338</v>
      </c>
      <c r="AX347" s="44">
        <v>-22.02</v>
      </c>
      <c r="AY347" s="43">
        <f t="shared" ref="AY347:AY375" si="85">AY346+280.46/285</f>
        <v>253.89010526315917</v>
      </c>
    </row>
    <row r="348" spans="49:51" x14ac:dyDescent="0.2">
      <c r="AW348" s="46">
        <v>339</v>
      </c>
      <c r="AX348" s="44">
        <v>-22.17</v>
      </c>
      <c r="AY348" s="43">
        <f t="shared" si="85"/>
        <v>254.87417543859777</v>
      </c>
    </row>
    <row r="349" spans="49:51" x14ac:dyDescent="0.2">
      <c r="AW349" s="46">
        <v>340</v>
      </c>
      <c r="AX349" s="44">
        <v>-22.3</v>
      </c>
      <c r="AY349" s="43">
        <f t="shared" si="85"/>
        <v>255.85824561403638</v>
      </c>
    </row>
    <row r="350" spans="49:51" x14ac:dyDescent="0.2">
      <c r="AW350" s="46">
        <v>341</v>
      </c>
      <c r="AX350" s="44">
        <v>-22.42</v>
      </c>
      <c r="AY350" s="43">
        <f t="shared" si="85"/>
        <v>256.84231578947498</v>
      </c>
    </row>
    <row r="351" spans="49:51" x14ac:dyDescent="0.2">
      <c r="AW351" s="46">
        <v>342</v>
      </c>
      <c r="AX351" s="44">
        <v>-22.53</v>
      </c>
      <c r="AY351" s="43">
        <f t="shared" si="85"/>
        <v>257.82638596491358</v>
      </c>
    </row>
    <row r="352" spans="49:51" x14ac:dyDescent="0.2">
      <c r="AW352" s="46">
        <v>343</v>
      </c>
      <c r="AX352" s="44">
        <v>-22.65</v>
      </c>
      <c r="AY352" s="43">
        <f t="shared" si="85"/>
        <v>258.81045614035219</v>
      </c>
    </row>
    <row r="353" spans="49:51" x14ac:dyDescent="0.2">
      <c r="AW353" s="46">
        <v>344</v>
      </c>
      <c r="AX353" s="44">
        <v>-22.77</v>
      </c>
      <c r="AY353" s="43">
        <f t="shared" si="85"/>
        <v>259.79452631579079</v>
      </c>
    </row>
    <row r="354" spans="49:51" x14ac:dyDescent="0.2">
      <c r="AW354" s="46">
        <v>345</v>
      </c>
      <c r="AX354" s="44">
        <v>-22.87</v>
      </c>
      <c r="AY354" s="43">
        <f t="shared" si="85"/>
        <v>260.77859649122939</v>
      </c>
    </row>
    <row r="355" spans="49:51" x14ac:dyDescent="0.2">
      <c r="AW355" s="46">
        <v>346</v>
      </c>
      <c r="AX355" s="44">
        <v>-22.95</v>
      </c>
      <c r="AY355" s="43">
        <f t="shared" si="85"/>
        <v>261.762666666668</v>
      </c>
    </row>
    <row r="356" spans="49:51" x14ac:dyDescent="0.2">
      <c r="AW356" s="46">
        <v>347</v>
      </c>
      <c r="AX356" s="44">
        <v>-23.03</v>
      </c>
      <c r="AY356" s="43">
        <f t="shared" si="85"/>
        <v>262.7467368421066</v>
      </c>
    </row>
    <row r="357" spans="49:51" x14ac:dyDescent="0.2">
      <c r="AW357" s="46">
        <v>348</v>
      </c>
      <c r="AX357" s="44">
        <v>-23.12</v>
      </c>
      <c r="AY357" s="43">
        <f t="shared" si="85"/>
        <v>263.7308070175452</v>
      </c>
    </row>
    <row r="358" spans="49:51" x14ac:dyDescent="0.2">
      <c r="AW358" s="46">
        <v>349</v>
      </c>
      <c r="AX358" s="44">
        <v>-23.18</v>
      </c>
      <c r="AY358" s="43">
        <f t="shared" si="85"/>
        <v>264.71487719298381</v>
      </c>
    </row>
    <row r="359" spans="49:51" x14ac:dyDescent="0.2">
      <c r="AW359" s="46">
        <v>350</v>
      </c>
      <c r="AX359" s="44">
        <v>-23.23</v>
      </c>
      <c r="AY359" s="43">
        <f t="shared" si="85"/>
        <v>265.69894736842241</v>
      </c>
    </row>
    <row r="360" spans="49:51" x14ac:dyDescent="0.2">
      <c r="AW360" s="46">
        <v>351</v>
      </c>
      <c r="AX360" s="44">
        <v>-23.28</v>
      </c>
      <c r="AY360" s="43">
        <f t="shared" si="85"/>
        <v>266.68301754386101</v>
      </c>
    </row>
    <row r="361" spans="49:51" x14ac:dyDescent="0.2">
      <c r="AW361" s="46">
        <v>352</v>
      </c>
      <c r="AX361" s="44">
        <v>-23.33</v>
      </c>
      <c r="AY361" s="43">
        <f t="shared" si="85"/>
        <v>267.66708771929962</v>
      </c>
    </row>
    <row r="362" spans="49:51" x14ac:dyDescent="0.2">
      <c r="AW362" s="46">
        <v>353</v>
      </c>
      <c r="AX362" s="44">
        <v>-23.37</v>
      </c>
      <c r="AY362" s="43">
        <f t="shared" si="85"/>
        <v>268.65115789473822</v>
      </c>
    </row>
    <row r="363" spans="49:51" x14ac:dyDescent="0.2">
      <c r="AW363" s="46">
        <v>354</v>
      </c>
      <c r="AX363" s="44">
        <v>-23.4</v>
      </c>
      <c r="AY363" s="43">
        <f t="shared" si="85"/>
        <v>269.63522807017682</v>
      </c>
    </row>
    <row r="364" spans="49:51" x14ac:dyDescent="0.2">
      <c r="AW364" s="46">
        <v>355</v>
      </c>
      <c r="AX364" s="44">
        <v>-23.42</v>
      </c>
      <c r="AY364" s="43">
        <f t="shared" si="85"/>
        <v>270.61929824561543</v>
      </c>
    </row>
    <row r="365" spans="49:51" x14ac:dyDescent="0.2">
      <c r="AW365" s="46">
        <v>356</v>
      </c>
      <c r="AX365" s="44">
        <v>-23.43</v>
      </c>
      <c r="AY365" s="43">
        <f t="shared" si="85"/>
        <v>271.60336842105403</v>
      </c>
    </row>
    <row r="366" spans="49:51" x14ac:dyDescent="0.2">
      <c r="AW366" s="46">
        <v>357</v>
      </c>
      <c r="AX366" s="44">
        <v>-23.43</v>
      </c>
      <c r="AY366" s="43">
        <f t="shared" si="85"/>
        <v>272.58743859649263</v>
      </c>
    </row>
    <row r="367" spans="49:51" x14ac:dyDescent="0.2">
      <c r="AW367" s="46">
        <v>358</v>
      </c>
      <c r="AX367" s="44">
        <v>-23.43</v>
      </c>
      <c r="AY367" s="43">
        <f t="shared" si="85"/>
        <v>273.57150877193124</v>
      </c>
    </row>
    <row r="368" spans="49:51" x14ac:dyDescent="0.2">
      <c r="AW368" s="46">
        <v>359</v>
      </c>
      <c r="AX368" s="44">
        <v>-23.43</v>
      </c>
      <c r="AY368" s="43">
        <f t="shared" si="85"/>
        <v>274.55557894736984</v>
      </c>
    </row>
    <row r="369" spans="49:51" x14ac:dyDescent="0.2">
      <c r="AW369" s="46">
        <v>360</v>
      </c>
      <c r="AX369" s="44">
        <v>-23.42</v>
      </c>
      <c r="AY369" s="43">
        <f t="shared" si="85"/>
        <v>275.53964912280844</v>
      </c>
    </row>
    <row r="370" spans="49:51" x14ac:dyDescent="0.2">
      <c r="AW370" s="46">
        <v>361</v>
      </c>
      <c r="AX370" s="44">
        <v>-23.38</v>
      </c>
      <c r="AY370" s="43">
        <f t="shared" si="85"/>
        <v>276.52371929824704</v>
      </c>
    </row>
    <row r="371" spans="49:51" x14ac:dyDescent="0.2">
      <c r="AW371" s="46">
        <v>362</v>
      </c>
      <c r="AX371" s="44">
        <v>-23.35</v>
      </c>
      <c r="AY371" s="43">
        <f t="shared" si="85"/>
        <v>277.50778947368565</v>
      </c>
    </row>
    <row r="372" spans="49:51" x14ac:dyDescent="0.2">
      <c r="AW372" s="46">
        <v>363</v>
      </c>
      <c r="AX372" s="44">
        <v>-23.32</v>
      </c>
      <c r="AY372" s="43">
        <f t="shared" si="85"/>
        <v>278.49185964912425</v>
      </c>
    </row>
    <row r="373" spans="49:51" x14ac:dyDescent="0.2">
      <c r="AW373" s="46">
        <v>364</v>
      </c>
      <c r="AX373" s="44">
        <v>-23.27</v>
      </c>
      <c r="AY373" s="43">
        <f t="shared" si="85"/>
        <v>279.47592982456285</v>
      </c>
    </row>
    <row r="374" spans="49:51" x14ac:dyDescent="0.2">
      <c r="AW374" s="46">
        <v>365</v>
      </c>
      <c r="AX374" s="44">
        <v>-23.2</v>
      </c>
      <c r="AY374" s="43">
        <f t="shared" si="85"/>
        <v>280.46000000000146</v>
      </c>
    </row>
    <row r="375" spans="49:51" x14ac:dyDescent="0.2">
      <c r="AW375" s="46">
        <v>366</v>
      </c>
      <c r="AX375" s="44">
        <v>-23.13</v>
      </c>
      <c r="AY375" s="43">
        <f t="shared" si="85"/>
        <v>281.44407017544006</v>
      </c>
    </row>
  </sheetData>
  <sheetProtection sheet="1"/>
  <phoneticPr fontId="2"/>
  <pageMargins left="0.75" right="0.75" top="1" bottom="1" header="0.5" footer="0.5"/>
  <pageSetup paperSize="0"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Introduction</vt:lpstr>
      <vt:lpstr>Clock</vt:lpstr>
      <vt:lpstr>Calculations</vt:lpstr>
      <vt:lpstr>phi</vt:lpstr>
    </vt:vector>
  </TitlesOfParts>
  <Manager/>
  <Company>Astronomy Morsels</Company>
  <LinksUpToDate>false</LinksUpToDate>
  <SharedDoc>false</SharedDoc>
  <HyperlinkBase>www.astronomy-morsels.ch</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Astronomical Clock (Prague)</dc:title>
  <dc:subject/>
  <dc:creator>Willy Leenders / Anton Viola</dc:creator>
  <cp:keywords/>
  <dc:description>Original source: www.wijzerweb.be (non existing)</dc:description>
  <cp:lastModifiedBy>Anton Viola</cp:lastModifiedBy>
  <dcterms:created xsi:type="dcterms:W3CDTF">2008-01-28T14:39:03Z</dcterms:created>
  <dcterms:modified xsi:type="dcterms:W3CDTF">2024-05-15T16:17:01Z</dcterms:modified>
  <cp:category/>
</cp:coreProperties>
</file>