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29BF55F8-8616-044A-8096-F2B2AAECB61C}" xr6:coauthVersionLast="47" xr6:coauthVersionMax="47" xr10:uidLastSave="{00000000-0000-0000-0000-000000000000}"/>
  <bookViews>
    <workbookView xWindow="11280" yWindow="3540" windowWidth="32240" windowHeight="20940" xr2:uid="{5604B167-511D-8C41-BB01-DEB117AC2E44}"/>
  </bookViews>
  <sheets>
    <sheet name="Introduction" sheetId="41" r:id="rId1"/>
    <sheet name="Moon Phases" sheetId="42" r:id="rId2"/>
    <sheet name="Calculations" sheetId="44" r:id="rId3"/>
    <sheet name="Background" sheetId="46" r:id="rId4"/>
  </sheets>
  <definedNames>
    <definedName name="Day">'Moon Phases'!#REF!</definedName>
    <definedName name="Days">Calculations!$D$367:$D$397</definedName>
    <definedName name="degrees">{0;90;180;270}</definedName>
    <definedName name="dgrs">{0;90;180;270}</definedName>
    <definedName name="KeyDates">'Moon Phases'!$T$11:$T$18</definedName>
    <definedName name="Month">'Moon Phases'!$E$5</definedName>
    <definedName name="Months">Calculations!$C$367:$C$378</definedName>
    <definedName name="MonthSelected">Calculations!$E$367</definedName>
    <definedName name="Monthselected10">Calculations!$I$375</definedName>
    <definedName name="MonthSelected11">Calculations!$I$376</definedName>
    <definedName name="MonthSelected12">Calculations!$I$377</definedName>
    <definedName name="MonthSelected2">Calculations!$I$367</definedName>
    <definedName name="MonthSelected3">Calculations!$I$368</definedName>
    <definedName name="MonthSelected4">Calculations!$I$369</definedName>
    <definedName name="MonthSelected5">Calculations!$I$370</definedName>
    <definedName name="MonthSelected6">Calculations!$I$371</definedName>
    <definedName name="MonthSelected7">Calculations!$I$372</definedName>
    <definedName name="MonthSelected8">Calculations!$I$373</definedName>
    <definedName name="MonthSelected9">Calculations!$I$374</definedName>
    <definedName name="_xlnm.Print_Area" localSheetId="1">'Moon Phases'!$B$7:$V$18</definedName>
    <definedName name="Year">'Moon Phases'!$E$4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7" i="44" l="1"/>
  <c r="N367" i="44" s="1"/>
  <c r="N322" i="44"/>
  <c r="C331" i="44"/>
  <c r="E331" i="44"/>
  <c r="H348" i="44"/>
  <c r="J348" i="44"/>
  <c r="L348" i="44"/>
  <c r="N348" i="44"/>
  <c r="B353" i="44"/>
  <c r="D353" i="44"/>
  <c r="B354" i="44"/>
  <c r="B355" i="44" s="1"/>
  <c r="B356" i="44" s="1"/>
  <c r="B357" i="44" s="1"/>
  <c r="B358" i="44" s="1"/>
  <c r="B359" i="44" s="1"/>
  <c r="B360" i="44" s="1"/>
  <c r="B361" i="44" s="1"/>
  <c r="B362" i="44" s="1"/>
  <c r="B363" i="44" s="1"/>
  <c r="D354" i="44"/>
  <c r="D355" i="44" s="1"/>
  <c r="D356" i="44" s="1"/>
  <c r="D357" i="44" s="1"/>
  <c r="D358" i="44" s="1"/>
  <c r="D359" i="44" s="1"/>
  <c r="D360" i="44" s="1"/>
  <c r="D361" i="44" s="1"/>
  <c r="D362" i="44" s="1"/>
  <c r="D363" i="44" s="1"/>
  <c r="AA25" i="42"/>
  <c r="C114" i="44"/>
  <c r="B120" i="44" s="1"/>
  <c r="B121" i="44" s="1"/>
  <c r="B122" i="44" s="1"/>
  <c r="M368" i="44" l="1"/>
  <c r="B123" i="44"/>
  <c r="N368" i="44" l="1"/>
  <c r="M369" i="44"/>
  <c r="B124" i="44"/>
  <c r="N369" i="44" l="1"/>
  <c r="M370" i="44"/>
  <c r="B125" i="44"/>
  <c r="M371" i="44" l="1"/>
  <c r="N370" i="44"/>
  <c r="B126" i="44"/>
  <c r="N371" i="44" l="1"/>
  <c r="M372" i="44"/>
  <c r="B127" i="44"/>
  <c r="M373" i="44" l="1"/>
  <c r="N372" i="44"/>
  <c r="B128" i="44"/>
  <c r="N373" i="44" l="1"/>
  <c r="M374" i="44"/>
  <c r="N374" i="44" s="1"/>
  <c r="B129" i="44"/>
  <c r="B130" i="44" l="1"/>
  <c r="B131" i="44" l="1"/>
  <c r="B132" i="44" l="1"/>
  <c r="B133" i="44" l="1"/>
  <c r="B134" i="44" l="1"/>
  <c r="B135" i="44" l="1"/>
  <c r="B136" i="44" l="1"/>
  <c r="B137" i="44" l="1"/>
  <c r="B138" i="44" l="1"/>
  <c r="B139" i="44" l="1"/>
  <c r="B140" i="44" l="1"/>
  <c r="B141" i="44" l="1"/>
  <c r="B142" i="44" l="1"/>
  <c r="B143" i="44" l="1"/>
  <c r="B144" i="44" l="1"/>
  <c r="B145" i="44" l="1"/>
  <c r="B146" i="44" l="1"/>
  <c r="B147" i="44" l="1"/>
  <c r="B148" i="44" l="1"/>
  <c r="B149" i="44" l="1"/>
  <c r="B150" i="44" l="1"/>
  <c r="B151" i="44" l="1"/>
  <c r="B152" i="44" l="1"/>
  <c r="B153" i="44" l="1"/>
  <c r="B154" i="44" l="1"/>
  <c r="B155" i="44" l="1"/>
  <c r="B156" i="44" l="1"/>
  <c r="B157" i="44" l="1"/>
  <c r="B158" i="44" l="1"/>
  <c r="B159" i="44" l="1"/>
  <c r="B160" i="44" l="1"/>
  <c r="AA16" i="42"/>
  <c r="E5" i="42"/>
  <c r="E367" i="44" s="1"/>
  <c r="I367" i="44" s="1"/>
  <c r="E4" i="42"/>
  <c r="H4" i="42" s="1"/>
  <c r="C4" i="44"/>
  <c r="AA21" i="42" l="1"/>
  <c r="E323" i="44"/>
  <c r="E325" i="44"/>
  <c r="E326" i="44"/>
  <c r="E338" i="44" s="1"/>
  <c r="I368" i="44"/>
  <c r="J367" i="44"/>
  <c r="K367" i="44"/>
  <c r="K368" i="44" s="1"/>
  <c r="B161" i="44"/>
  <c r="C6" i="44"/>
  <c r="AA20" i="42"/>
  <c r="B10" i="42"/>
  <c r="B12" i="42" s="1"/>
  <c r="C12" i="42" s="1"/>
  <c r="D12" i="42" s="1"/>
  <c r="E12" i="42" s="1"/>
  <c r="F12" i="42" s="1"/>
  <c r="G12" i="42" s="1"/>
  <c r="H12" i="42" s="1"/>
  <c r="B13" i="42" s="1"/>
  <c r="C13" i="42" s="1"/>
  <c r="D13" i="42" s="1"/>
  <c r="E13" i="42" s="1"/>
  <c r="F13" i="42" s="1"/>
  <c r="G13" i="42" s="1"/>
  <c r="H13" i="42" s="1"/>
  <c r="B14" i="42" s="1"/>
  <c r="C14" i="42" s="1"/>
  <c r="D14" i="42" s="1"/>
  <c r="E14" i="42" s="1"/>
  <c r="F14" i="42" s="1"/>
  <c r="G14" i="42" s="1"/>
  <c r="H14" i="42" s="1"/>
  <c r="B15" i="42" s="1"/>
  <c r="C15" i="42" s="1"/>
  <c r="D15" i="42" s="1"/>
  <c r="E15" i="42" s="1"/>
  <c r="F15" i="42" s="1"/>
  <c r="G15" i="42" s="1"/>
  <c r="H15" i="42" s="1"/>
  <c r="B16" i="42" s="1"/>
  <c r="C16" i="42" s="1"/>
  <c r="D16" i="42" s="1"/>
  <c r="E16" i="42" s="1"/>
  <c r="F16" i="42" s="1"/>
  <c r="G16" i="42" s="1"/>
  <c r="H16" i="42" s="1"/>
  <c r="B17" i="42" s="1"/>
  <c r="C17" i="42" s="1"/>
  <c r="D17" i="42" s="1"/>
  <c r="E17" i="42" s="1"/>
  <c r="F17" i="42" s="1"/>
  <c r="G17" i="42" s="1"/>
  <c r="H17" i="42" s="1"/>
  <c r="H5" i="42"/>
  <c r="AA8" i="42" s="1"/>
  <c r="B7" i="42"/>
  <c r="E334" i="44" l="1"/>
  <c r="E340" i="44" s="1"/>
  <c r="E333" i="44"/>
  <c r="I369" i="44"/>
  <c r="K369" i="44"/>
  <c r="J368" i="44"/>
  <c r="C323" i="44"/>
  <c r="C326" i="44"/>
  <c r="C338" i="44" s="1"/>
  <c r="C325" i="44"/>
  <c r="B162" i="44"/>
  <c r="J10" i="42"/>
  <c r="J12" i="42" s="1"/>
  <c r="K12" i="42" s="1"/>
  <c r="L12" i="42" s="1"/>
  <c r="M12" i="42" s="1"/>
  <c r="N12" i="42" s="1"/>
  <c r="O12" i="42" s="1"/>
  <c r="P12" i="42" s="1"/>
  <c r="J13" i="42" s="1"/>
  <c r="K13" i="42" s="1"/>
  <c r="L13" i="42" s="1"/>
  <c r="M13" i="42" s="1"/>
  <c r="N13" i="42" s="1"/>
  <c r="O13" i="42" s="1"/>
  <c r="P13" i="42" s="1"/>
  <c r="J14" i="42" s="1"/>
  <c r="K14" i="42" s="1"/>
  <c r="L14" i="42" s="1"/>
  <c r="M14" i="42" s="1"/>
  <c r="N14" i="42" s="1"/>
  <c r="O14" i="42" s="1"/>
  <c r="P14" i="42" s="1"/>
  <c r="J15" i="42" s="1"/>
  <c r="K15" i="42" s="1"/>
  <c r="L15" i="42" s="1"/>
  <c r="M15" i="42" s="1"/>
  <c r="N15" i="42" s="1"/>
  <c r="O15" i="42" s="1"/>
  <c r="P15" i="42" s="1"/>
  <c r="J16" i="42" s="1"/>
  <c r="K16" i="42" s="1"/>
  <c r="L16" i="42" s="1"/>
  <c r="M16" i="42" s="1"/>
  <c r="N16" i="42" s="1"/>
  <c r="O16" i="42" s="1"/>
  <c r="P16" i="42" s="1"/>
  <c r="J17" i="42" s="1"/>
  <c r="K17" i="42" s="1"/>
  <c r="L17" i="42" s="1"/>
  <c r="M17" i="42" s="1"/>
  <c r="N17" i="42" s="1"/>
  <c r="O17" i="42" s="1"/>
  <c r="P17" i="42" s="1"/>
  <c r="AA12" i="42"/>
  <c r="C7" i="44" s="1"/>
  <c r="AA13" i="42"/>
  <c r="C8" i="44" s="1"/>
  <c r="E339" i="44" l="1"/>
  <c r="E335" i="44"/>
  <c r="I370" i="44"/>
  <c r="K370" i="44"/>
  <c r="J369" i="44"/>
  <c r="C334" i="44"/>
  <c r="C340" i="44" s="1"/>
  <c r="C333" i="44"/>
  <c r="B163" i="44"/>
  <c r="C9" i="44"/>
  <c r="C14" i="44" s="1"/>
  <c r="C15" i="44" s="1"/>
  <c r="F28" i="44" s="1"/>
  <c r="D28" i="44" s="1"/>
  <c r="B28" i="44" s="1"/>
  <c r="E336" i="44" l="1"/>
  <c r="E337" i="44"/>
  <c r="E341" i="44" s="1"/>
  <c r="AA19" i="42" s="1"/>
  <c r="I371" i="44"/>
  <c r="J370" i="44"/>
  <c r="K371" i="44"/>
  <c r="C339" i="44"/>
  <c r="C335" i="44"/>
  <c r="AA26" i="42"/>
  <c r="AA27" i="42" s="1"/>
  <c r="AA29" i="42" s="1"/>
  <c r="AA30" i="42"/>
  <c r="AA28" i="42"/>
  <c r="AA22" i="42"/>
  <c r="AA18" i="42" s="1"/>
  <c r="B164" i="44"/>
  <c r="F33" i="44"/>
  <c r="D33" i="44" s="1"/>
  <c r="B33" i="44" s="1"/>
  <c r="D21" i="44"/>
  <c r="C21" i="44" s="1"/>
  <c r="F38" i="44"/>
  <c r="D38" i="44" s="1"/>
  <c r="B38" i="44" s="1"/>
  <c r="F27" i="44"/>
  <c r="D27" i="44" s="1"/>
  <c r="B27" i="44" s="1"/>
  <c r="F31" i="44"/>
  <c r="D31" i="44" s="1"/>
  <c r="B31" i="44" s="1"/>
  <c r="D22" i="44"/>
  <c r="C22" i="44" s="1"/>
  <c r="M14" i="44"/>
  <c r="M15" i="44" s="1"/>
  <c r="M16" i="44" s="1"/>
  <c r="L73" i="44" s="1"/>
  <c r="F36" i="44"/>
  <c r="D36" i="44" s="1"/>
  <c r="B36" i="44" s="1"/>
  <c r="F34" i="44"/>
  <c r="D34" i="44" s="1"/>
  <c r="B34" i="44" s="1"/>
  <c r="F30" i="44"/>
  <c r="D30" i="44" s="1"/>
  <c r="B30" i="44" s="1"/>
  <c r="AG14" i="44"/>
  <c r="AG15" i="44" s="1"/>
  <c r="AG16" i="44" s="1"/>
  <c r="AF82" i="44" s="1"/>
  <c r="W14" i="44"/>
  <c r="W15" i="44" s="1"/>
  <c r="Z30" i="44" s="1"/>
  <c r="X30" i="44" s="1"/>
  <c r="V30" i="44" s="1"/>
  <c r="F39" i="44"/>
  <c r="D39" i="44" s="1"/>
  <c r="B39" i="44" s="1"/>
  <c r="AQ14" i="44"/>
  <c r="AQ15" i="44" s="1"/>
  <c r="AQ16" i="44" s="1"/>
  <c r="AP82" i="44" s="1"/>
  <c r="D20" i="44"/>
  <c r="C20" i="44" s="1"/>
  <c r="F35" i="44"/>
  <c r="D35" i="44" s="1"/>
  <c r="B35" i="44" s="1"/>
  <c r="F37" i="44"/>
  <c r="D37" i="44" s="1"/>
  <c r="B37" i="44" s="1"/>
  <c r="C16" i="44"/>
  <c r="B73" i="44" s="1"/>
  <c r="C17" i="44"/>
  <c r="F26" i="44"/>
  <c r="D26" i="44" s="1"/>
  <c r="B26" i="44" s="1"/>
  <c r="F29" i="44"/>
  <c r="D29" i="44" s="1"/>
  <c r="B29" i="44" s="1"/>
  <c r="F32" i="44"/>
  <c r="D32" i="44" s="1"/>
  <c r="B32" i="44" s="1"/>
  <c r="D19" i="44"/>
  <c r="C19" i="44" s="1"/>
  <c r="J371" i="44" l="1"/>
  <c r="I372" i="44"/>
  <c r="K372" i="44"/>
  <c r="C336" i="44"/>
  <c r="C337" i="44" s="1"/>
  <c r="C341" i="44" s="1"/>
  <c r="AA11" i="42" s="1"/>
  <c r="AA14" i="42" s="1"/>
  <c r="AA10" i="42" s="1"/>
  <c r="AA31" i="42"/>
  <c r="AA32" i="42" s="1"/>
  <c r="S23" i="42" s="1"/>
  <c r="B84" i="44"/>
  <c r="P31" i="44"/>
  <c r="N31" i="44" s="1"/>
  <c r="L31" i="44" s="1"/>
  <c r="D55" i="44"/>
  <c r="B76" i="44"/>
  <c r="F47" i="44"/>
  <c r="L72" i="44"/>
  <c r="N21" i="44"/>
  <c r="M21" i="44" s="1"/>
  <c r="B165" i="44"/>
  <c r="L84" i="44"/>
  <c r="L52" i="44"/>
  <c r="N20" i="44"/>
  <c r="M20" i="44" s="1"/>
  <c r="P28" i="44"/>
  <c r="N28" i="44" s="1"/>
  <c r="L28" i="44" s="1"/>
  <c r="F73" i="44"/>
  <c r="C73" i="44" s="1"/>
  <c r="P35" i="44"/>
  <c r="N35" i="44" s="1"/>
  <c r="L35" i="44" s="1"/>
  <c r="N56" i="44"/>
  <c r="L54" i="44"/>
  <c r="N54" i="44"/>
  <c r="L56" i="44"/>
  <c r="L76" i="44"/>
  <c r="AR55" i="44"/>
  <c r="W16" i="44"/>
  <c r="V49" i="44" s="1"/>
  <c r="X20" i="44"/>
  <c r="W20" i="44" s="1"/>
  <c r="AG17" i="44"/>
  <c r="AP73" i="44"/>
  <c r="AP72" i="44"/>
  <c r="AP85" i="44"/>
  <c r="Z33" i="44"/>
  <c r="X33" i="44" s="1"/>
  <c r="V33" i="44" s="1"/>
  <c r="F53" i="44"/>
  <c r="C53" i="44" s="1"/>
  <c r="F90" i="44"/>
  <c r="C90" i="44" s="1"/>
  <c r="AH21" i="44"/>
  <c r="AG21" i="44" s="1"/>
  <c r="AF77" i="44"/>
  <c r="N52" i="44"/>
  <c r="F51" i="44"/>
  <c r="E51" i="44" s="1"/>
  <c r="AR22" i="44"/>
  <c r="AQ22" i="44" s="1"/>
  <c r="AH56" i="44"/>
  <c r="AR19" i="44"/>
  <c r="AQ19" i="44" s="1"/>
  <c r="L47" i="44"/>
  <c r="AH54" i="44"/>
  <c r="AH19" i="44"/>
  <c r="AG19" i="44" s="1"/>
  <c r="L48" i="44"/>
  <c r="AQ17" i="44"/>
  <c r="L77" i="44"/>
  <c r="F72" i="44"/>
  <c r="Z28" i="44"/>
  <c r="X28" i="44" s="1"/>
  <c r="V28" i="44" s="1"/>
  <c r="AJ30" i="44"/>
  <c r="AH30" i="44" s="1"/>
  <c r="AF30" i="44" s="1"/>
  <c r="P38" i="44"/>
  <c r="N38" i="44" s="1"/>
  <c r="L38" i="44" s="1"/>
  <c r="P37" i="44"/>
  <c r="N37" i="44" s="1"/>
  <c r="L37" i="44" s="1"/>
  <c r="AH55" i="44"/>
  <c r="AF76" i="44"/>
  <c r="P39" i="44"/>
  <c r="N39" i="44" s="1"/>
  <c r="L39" i="44" s="1"/>
  <c r="AR21" i="44"/>
  <c r="AQ21" i="44" s="1"/>
  <c r="Z37" i="44"/>
  <c r="X37" i="44" s="1"/>
  <c r="V37" i="44" s="1"/>
  <c r="B40" i="44"/>
  <c r="F104" i="44" s="1"/>
  <c r="AF72" i="44"/>
  <c r="N49" i="44"/>
  <c r="AH44" i="44"/>
  <c r="P29" i="44"/>
  <c r="N29" i="44" s="1"/>
  <c r="L29" i="44" s="1"/>
  <c r="L55" i="44"/>
  <c r="AR49" i="44"/>
  <c r="L83" i="44"/>
  <c r="P30" i="44"/>
  <c r="N30" i="44" s="1"/>
  <c r="L30" i="44" s="1"/>
  <c r="AJ35" i="44"/>
  <c r="AH35" i="44" s="1"/>
  <c r="AF35" i="44" s="1"/>
  <c r="AJ37" i="44"/>
  <c r="AH37" i="44" s="1"/>
  <c r="AF37" i="44" s="1"/>
  <c r="N48" i="44"/>
  <c r="AF55" i="44"/>
  <c r="AJ28" i="44"/>
  <c r="AH28" i="44" s="1"/>
  <c r="AF28" i="44" s="1"/>
  <c r="Z32" i="44"/>
  <c r="X32" i="44" s="1"/>
  <c r="V32" i="44" s="1"/>
  <c r="M17" i="44"/>
  <c r="X22" i="44"/>
  <c r="W22" i="44" s="1"/>
  <c r="AR48" i="44"/>
  <c r="P32" i="44"/>
  <c r="N32" i="44" s="1"/>
  <c r="L32" i="44" s="1"/>
  <c r="AT29" i="44"/>
  <c r="AR29" i="44" s="1"/>
  <c r="AP29" i="44" s="1"/>
  <c r="F62" i="44"/>
  <c r="C62" i="44" s="1"/>
  <c r="AT33" i="44"/>
  <c r="AR33" i="44" s="1"/>
  <c r="AP33" i="44" s="1"/>
  <c r="AJ38" i="44"/>
  <c r="AH38" i="44" s="1"/>
  <c r="AF38" i="44" s="1"/>
  <c r="AJ26" i="44"/>
  <c r="AH26" i="44" s="1"/>
  <c r="AF26" i="44" s="1"/>
  <c r="N22" i="44"/>
  <c r="M22" i="44" s="1"/>
  <c r="L85" i="44"/>
  <c r="X21" i="44"/>
  <c r="W21" i="44" s="1"/>
  <c r="AP77" i="44"/>
  <c r="L49" i="44"/>
  <c r="F95" i="44"/>
  <c r="C95" i="44" s="1"/>
  <c r="B72" i="44"/>
  <c r="AT35" i="44"/>
  <c r="AR35" i="44" s="1"/>
  <c r="AP35" i="44" s="1"/>
  <c r="AJ29" i="44"/>
  <c r="AH29" i="44" s="1"/>
  <c r="AF29" i="44" s="1"/>
  <c r="AR52" i="44"/>
  <c r="D56" i="44"/>
  <c r="AH20" i="44"/>
  <c r="AG20" i="44" s="1"/>
  <c r="AR56" i="44"/>
  <c r="F87" i="44"/>
  <c r="C87" i="44" s="1"/>
  <c r="D54" i="44"/>
  <c r="B83" i="44"/>
  <c r="Z31" i="44"/>
  <c r="X31" i="44" s="1"/>
  <c r="V31" i="44" s="1"/>
  <c r="D47" i="44"/>
  <c r="AF84" i="44"/>
  <c r="F63" i="44"/>
  <c r="E63" i="44" s="1"/>
  <c r="Z29" i="44"/>
  <c r="X29" i="44" s="1"/>
  <c r="V29" i="44" s="1"/>
  <c r="AJ27" i="44"/>
  <c r="AH27" i="44" s="1"/>
  <c r="AF27" i="44" s="1"/>
  <c r="AF52" i="44"/>
  <c r="AJ32" i="44"/>
  <c r="AH32" i="44" s="1"/>
  <c r="AF32" i="44" s="1"/>
  <c r="AF73" i="44"/>
  <c r="AP81" i="44"/>
  <c r="F58" i="44"/>
  <c r="E58" i="44" s="1"/>
  <c r="B47" i="44"/>
  <c r="C47" i="44" s="1"/>
  <c r="B44" i="44"/>
  <c r="F64" i="44"/>
  <c r="E64" i="44" s="1"/>
  <c r="AJ36" i="44"/>
  <c r="AH36" i="44" s="1"/>
  <c r="AF36" i="44" s="1"/>
  <c r="B52" i="44"/>
  <c r="W17" i="44"/>
  <c r="AP49" i="44"/>
  <c r="AH22" i="44"/>
  <c r="AG22" i="44" s="1"/>
  <c r="Z34" i="44"/>
  <c r="X34" i="44" s="1"/>
  <c r="V34" i="44" s="1"/>
  <c r="AR47" i="44"/>
  <c r="X19" i="44"/>
  <c r="W19" i="44" s="1"/>
  <c r="AF48" i="44"/>
  <c r="AH52" i="44"/>
  <c r="AP54" i="44"/>
  <c r="AP52" i="44"/>
  <c r="L44" i="44"/>
  <c r="N44" i="44"/>
  <c r="B77" i="44"/>
  <c r="B55" i="44"/>
  <c r="F48" i="44"/>
  <c r="AH49" i="44"/>
  <c r="B82" i="44"/>
  <c r="AF47" i="44"/>
  <c r="F77" i="44"/>
  <c r="AT38" i="44"/>
  <c r="AR38" i="44" s="1"/>
  <c r="AP38" i="44" s="1"/>
  <c r="Z39" i="44"/>
  <c r="X39" i="44" s="1"/>
  <c r="V39" i="44" s="1"/>
  <c r="F52" i="44"/>
  <c r="AF83" i="44"/>
  <c r="F94" i="44"/>
  <c r="C94" i="44" s="1"/>
  <c r="F67" i="44"/>
  <c r="C67" i="44" s="1"/>
  <c r="D52" i="44"/>
  <c r="B49" i="44"/>
  <c r="AR20" i="44"/>
  <c r="AQ20" i="44" s="1"/>
  <c r="AJ34" i="44"/>
  <c r="AH34" i="44" s="1"/>
  <c r="AF34" i="44" s="1"/>
  <c r="AF85" i="44"/>
  <c r="AP83" i="44"/>
  <c r="F82" i="44"/>
  <c r="AT36" i="44"/>
  <c r="AR36" i="44" s="1"/>
  <c r="AP36" i="44" s="1"/>
  <c r="D48" i="44"/>
  <c r="Z36" i="44"/>
  <c r="X36" i="44" s="1"/>
  <c r="V36" i="44" s="1"/>
  <c r="AH47" i="44"/>
  <c r="AP47" i="44"/>
  <c r="F76" i="44"/>
  <c r="AJ39" i="44"/>
  <c r="AH39" i="44" s="1"/>
  <c r="AF39" i="44" s="1"/>
  <c r="Z26" i="44"/>
  <c r="X26" i="44" s="1"/>
  <c r="V26" i="44" s="1"/>
  <c r="AF54" i="44"/>
  <c r="AF49" i="44"/>
  <c r="AP48" i="44"/>
  <c r="AJ33" i="44"/>
  <c r="AH33" i="44" s="1"/>
  <c r="AF33" i="44" s="1"/>
  <c r="F89" i="44"/>
  <c r="C89" i="44" s="1"/>
  <c r="P26" i="44"/>
  <c r="N26" i="44" s="1"/>
  <c r="L26" i="44" s="1"/>
  <c r="F92" i="44"/>
  <c r="C92" i="44" s="1"/>
  <c r="B56" i="44"/>
  <c r="P34" i="44"/>
  <c r="N34" i="44" s="1"/>
  <c r="L34" i="44" s="1"/>
  <c r="AT34" i="44"/>
  <c r="AR34" i="44" s="1"/>
  <c r="AP34" i="44" s="1"/>
  <c r="AP84" i="44"/>
  <c r="C99" i="44"/>
  <c r="E105" i="44" s="1"/>
  <c r="AT30" i="44"/>
  <c r="AR30" i="44" s="1"/>
  <c r="AP30" i="44" s="1"/>
  <c r="D44" i="44"/>
  <c r="Z35" i="44"/>
  <c r="X35" i="44" s="1"/>
  <c r="V35" i="44" s="1"/>
  <c r="AR44" i="44"/>
  <c r="AP44" i="44"/>
  <c r="P27" i="44"/>
  <c r="N27" i="44" s="1"/>
  <c r="L27" i="44" s="1"/>
  <c r="P33" i="44"/>
  <c r="N33" i="44" s="1"/>
  <c r="L33" i="44" s="1"/>
  <c r="N19" i="44"/>
  <c r="M19" i="44" s="1"/>
  <c r="AT27" i="44"/>
  <c r="AR27" i="44" s="1"/>
  <c r="AP27" i="44" s="1"/>
  <c r="Z38" i="44"/>
  <c r="X38" i="44" s="1"/>
  <c r="V38" i="44" s="1"/>
  <c r="AF81" i="44"/>
  <c r="AH48" i="44"/>
  <c r="AP76" i="44"/>
  <c r="N55" i="44"/>
  <c r="L82" i="44"/>
  <c r="N47" i="44"/>
  <c r="F91" i="44"/>
  <c r="C91" i="44" s="1"/>
  <c r="B54" i="44"/>
  <c r="B48" i="44"/>
  <c r="F59" i="44"/>
  <c r="E59" i="44" s="1"/>
  <c r="AP56" i="44"/>
  <c r="F84" i="44"/>
  <c r="C84" i="44" s="1"/>
  <c r="AJ31" i="44"/>
  <c r="AH31" i="44" s="1"/>
  <c r="AF31" i="44" s="1"/>
  <c r="AR54" i="44"/>
  <c r="F74" i="44"/>
  <c r="C74" i="44" s="1"/>
  <c r="AP55" i="44"/>
  <c r="AT31" i="44"/>
  <c r="AR31" i="44" s="1"/>
  <c r="AP31" i="44" s="1"/>
  <c r="AF56" i="44"/>
  <c r="B81" i="44"/>
  <c r="AT32" i="44"/>
  <c r="AR32" i="44" s="1"/>
  <c r="AP32" i="44" s="1"/>
  <c r="AT28" i="44"/>
  <c r="AR28" i="44" s="1"/>
  <c r="AP28" i="44" s="1"/>
  <c r="AT37" i="44"/>
  <c r="AR37" i="44" s="1"/>
  <c r="AP37" i="44" s="1"/>
  <c r="AT26" i="44"/>
  <c r="AR26" i="44" s="1"/>
  <c r="AP26" i="44" s="1"/>
  <c r="AT39" i="44"/>
  <c r="AR39" i="44" s="1"/>
  <c r="AP39" i="44" s="1"/>
  <c r="Z27" i="44"/>
  <c r="X27" i="44" s="1"/>
  <c r="V27" i="44" s="1"/>
  <c r="AF44" i="44"/>
  <c r="F45" i="44"/>
  <c r="E45" i="44" s="1"/>
  <c r="L81" i="44"/>
  <c r="P36" i="44"/>
  <c r="N36" i="44" s="1"/>
  <c r="L36" i="44" s="1"/>
  <c r="F85" i="44"/>
  <c r="D49" i="44"/>
  <c r="B85" i="44"/>
  <c r="F60" i="44"/>
  <c r="C60" i="44" s="1"/>
  <c r="F83" i="44"/>
  <c r="F80" i="44"/>
  <c r="C80" i="44" s="1"/>
  <c r="F66" i="44"/>
  <c r="C66" i="44" s="1"/>
  <c r="F88" i="44"/>
  <c r="C88" i="44" s="1"/>
  <c r="F65" i="44"/>
  <c r="C65" i="44" s="1"/>
  <c r="F61" i="44"/>
  <c r="E61" i="44" s="1"/>
  <c r="F55" i="44"/>
  <c r="F46" i="44"/>
  <c r="E46" i="44" s="1"/>
  <c r="F79" i="44"/>
  <c r="C79" i="44" s="1"/>
  <c r="F86" i="44"/>
  <c r="C86" i="44" s="1"/>
  <c r="F71" i="44"/>
  <c r="C71" i="44" s="1"/>
  <c r="F75" i="44"/>
  <c r="C75" i="44" s="1"/>
  <c r="F54" i="44"/>
  <c r="F43" i="44"/>
  <c r="C43" i="44" s="1"/>
  <c r="F81" i="44"/>
  <c r="F50" i="44"/>
  <c r="C50" i="44" s="1"/>
  <c r="F78" i="44"/>
  <c r="C78" i="44" s="1"/>
  <c r="F49" i="44"/>
  <c r="F44" i="44"/>
  <c r="F57" i="44"/>
  <c r="E57" i="44" s="1"/>
  <c r="F56" i="44"/>
  <c r="F93" i="44"/>
  <c r="C93" i="44" s="1"/>
  <c r="C76" i="44" l="1"/>
  <c r="K373" i="44"/>
  <c r="J372" i="44"/>
  <c r="I373" i="44"/>
  <c r="AT47" i="44"/>
  <c r="E49" i="44"/>
  <c r="C83" i="44"/>
  <c r="C82" i="44"/>
  <c r="V55" i="44"/>
  <c r="X44" i="44"/>
  <c r="V83" i="44"/>
  <c r="V48" i="44"/>
  <c r="V44" i="44"/>
  <c r="V84" i="44"/>
  <c r="X47" i="44"/>
  <c r="X55" i="44"/>
  <c r="E62" i="44"/>
  <c r="F103" i="44"/>
  <c r="X48" i="44"/>
  <c r="F102" i="44"/>
  <c r="V82" i="44"/>
  <c r="E54" i="44"/>
  <c r="C59" i="44"/>
  <c r="V56" i="44"/>
  <c r="C77" i="44"/>
  <c r="C85" i="44"/>
  <c r="V81" i="44"/>
  <c r="E48" i="44"/>
  <c r="E47" i="44"/>
  <c r="AJ94" i="44"/>
  <c r="AG94" i="44" s="1"/>
  <c r="AS47" i="44"/>
  <c r="AJ95" i="44"/>
  <c r="AG95" i="44" s="1"/>
  <c r="Z92" i="44"/>
  <c r="W92" i="44" s="1"/>
  <c r="AJ89" i="44"/>
  <c r="AG89" i="44" s="1"/>
  <c r="AJ84" i="44"/>
  <c r="AG84" i="44" s="1"/>
  <c r="AJ47" i="44"/>
  <c r="AG47" i="44" s="1"/>
  <c r="AJ74" i="44"/>
  <c r="AG74" i="44" s="1"/>
  <c r="AT92" i="44"/>
  <c r="AQ92" i="44" s="1"/>
  <c r="P78" i="44"/>
  <c r="M78" i="44" s="1"/>
  <c r="E53" i="44"/>
  <c r="C48" i="44"/>
  <c r="C72" i="44"/>
  <c r="AJ77" i="44"/>
  <c r="AG77" i="44" s="1"/>
  <c r="C55" i="44"/>
  <c r="B166" i="44"/>
  <c r="AT80" i="44"/>
  <c r="AQ80" i="44" s="1"/>
  <c r="P91" i="44"/>
  <c r="M91" i="44" s="1"/>
  <c r="P81" i="44"/>
  <c r="M81" i="44" s="1"/>
  <c r="P45" i="44"/>
  <c r="M45" i="44" s="1"/>
  <c r="AT54" i="44"/>
  <c r="AS54" i="44" s="1"/>
  <c r="AT75" i="44"/>
  <c r="AQ75" i="44" s="1"/>
  <c r="AJ64" i="44"/>
  <c r="AG64" i="44" s="1"/>
  <c r="AT45" i="44"/>
  <c r="AS45" i="44" s="1"/>
  <c r="AT78" i="44"/>
  <c r="AQ78" i="44" s="1"/>
  <c r="E52" i="44"/>
  <c r="Z82" i="44"/>
  <c r="AF40" i="44"/>
  <c r="P74" i="44"/>
  <c r="M74" i="44" s="1"/>
  <c r="P46" i="44"/>
  <c r="M46" i="44" s="1"/>
  <c r="AJ67" i="44"/>
  <c r="AI67" i="44" s="1"/>
  <c r="P73" i="44"/>
  <c r="M73" i="44" s="1"/>
  <c r="AT88" i="44"/>
  <c r="AQ88" i="44" s="1"/>
  <c r="Z52" i="44"/>
  <c r="AJ66" i="44"/>
  <c r="AG66" i="44" s="1"/>
  <c r="Z49" i="44"/>
  <c r="W49" i="44" s="1"/>
  <c r="P43" i="44"/>
  <c r="M43" i="44" s="1"/>
  <c r="AT59" i="44"/>
  <c r="AS59" i="44" s="1"/>
  <c r="AT56" i="44"/>
  <c r="AS56" i="44" s="1"/>
  <c r="Z64" i="44"/>
  <c r="Y64" i="44" s="1"/>
  <c r="AT46" i="44"/>
  <c r="AT50" i="44"/>
  <c r="AQ50" i="44" s="1"/>
  <c r="AG99" i="44"/>
  <c r="AI105" i="44" s="1"/>
  <c r="AJ44" i="44"/>
  <c r="AI44" i="44" s="1"/>
  <c r="C45" i="44"/>
  <c r="AT83" i="44"/>
  <c r="AQ83" i="44" s="1"/>
  <c r="P66" i="44"/>
  <c r="M66" i="44" s="1"/>
  <c r="P84" i="44"/>
  <c r="M84" i="44" s="1"/>
  <c r="AT81" i="44"/>
  <c r="AQ81" i="44" s="1"/>
  <c r="AJ53" i="44"/>
  <c r="AI53" i="44" s="1"/>
  <c r="AJ72" i="44"/>
  <c r="AG72" i="44" s="1"/>
  <c r="AJ75" i="44"/>
  <c r="AG75" i="44" s="1"/>
  <c r="L40" i="44"/>
  <c r="P105" i="44" s="1"/>
  <c r="P63" i="44"/>
  <c r="O63" i="44" s="1"/>
  <c r="AT73" i="44"/>
  <c r="AQ73" i="44" s="1"/>
  <c r="V40" i="44"/>
  <c r="Z102" i="44" s="1"/>
  <c r="AJ60" i="44"/>
  <c r="E56" i="44"/>
  <c r="AJ71" i="44"/>
  <c r="AG71" i="44" s="1"/>
  <c r="AT44" i="44"/>
  <c r="AS44" i="44" s="1"/>
  <c r="AT60" i="44"/>
  <c r="AS60" i="44" s="1"/>
  <c r="AJ88" i="44"/>
  <c r="AG88" i="44" s="1"/>
  <c r="V73" i="44"/>
  <c r="P55" i="44"/>
  <c r="M55" i="44" s="1"/>
  <c r="AJ62" i="44"/>
  <c r="AG62" i="44" s="1"/>
  <c r="X54" i="44"/>
  <c r="X56" i="44"/>
  <c r="AT89" i="44"/>
  <c r="AQ89" i="44" s="1"/>
  <c r="C58" i="44"/>
  <c r="AJ81" i="44"/>
  <c r="AG81" i="44" s="1"/>
  <c r="P60" i="44"/>
  <c r="M60" i="44" s="1"/>
  <c r="X52" i="44"/>
  <c r="AT49" i="44"/>
  <c r="AQ49" i="44" s="1"/>
  <c r="V54" i="44"/>
  <c r="AJ82" i="44"/>
  <c r="AG82" i="44" s="1"/>
  <c r="P44" i="44"/>
  <c r="M44" i="44" s="1"/>
  <c r="AP40" i="44"/>
  <c r="AT105" i="44" s="1"/>
  <c r="P79" i="44"/>
  <c r="M79" i="44" s="1"/>
  <c r="V76" i="44"/>
  <c r="AJ83" i="44"/>
  <c r="AG83" i="44" s="1"/>
  <c r="V52" i="44"/>
  <c r="AJ79" i="44"/>
  <c r="AG79" i="44" s="1"/>
  <c r="AT66" i="44"/>
  <c r="AQ66" i="44" s="1"/>
  <c r="AJ78" i="44"/>
  <c r="AG78" i="44" s="1"/>
  <c r="V47" i="44"/>
  <c r="P54" i="44"/>
  <c r="M54" i="44" s="1"/>
  <c r="AJ54" i="44"/>
  <c r="AG54" i="44" s="1"/>
  <c r="AJ46" i="44"/>
  <c r="AG46" i="44" s="1"/>
  <c r="V72" i="44"/>
  <c r="V85" i="44"/>
  <c r="AT64" i="44"/>
  <c r="AS64" i="44" s="1"/>
  <c r="E67" i="44"/>
  <c r="P47" i="44"/>
  <c r="M47" i="44" s="1"/>
  <c r="AJ52" i="44"/>
  <c r="AI52" i="44" s="1"/>
  <c r="AJ58" i="44"/>
  <c r="AG58" i="44" s="1"/>
  <c r="P72" i="44"/>
  <c r="M72" i="44" s="1"/>
  <c r="V77" i="44"/>
  <c r="AT77" i="44"/>
  <c r="AQ77" i="44" s="1"/>
  <c r="AJ63" i="44"/>
  <c r="AI63" i="44" s="1"/>
  <c r="X49" i="44"/>
  <c r="F105" i="44"/>
  <c r="Z67" i="44"/>
  <c r="W67" i="44" s="1"/>
  <c r="Z95" i="44"/>
  <c r="W95" i="44" s="1"/>
  <c r="P75" i="44"/>
  <c r="M75" i="44" s="1"/>
  <c r="Z85" i="44"/>
  <c r="Z45" i="44"/>
  <c r="Y45" i="44" s="1"/>
  <c r="AT71" i="44"/>
  <c r="AQ71" i="44" s="1"/>
  <c r="Z91" i="44"/>
  <c r="W91" i="44" s="1"/>
  <c r="AT43" i="44"/>
  <c r="AS43" i="44" s="1"/>
  <c r="P76" i="44"/>
  <c r="M76" i="44" s="1"/>
  <c r="P61" i="44"/>
  <c r="M61" i="44" s="1"/>
  <c r="C52" i="44"/>
  <c r="P58" i="44"/>
  <c r="O58" i="44" s="1"/>
  <c r="AT85" i="44"/>
  <c r="AQ85" i="44" s="1"/>
  <c r="AT55" i="44"/>
  <c r="AS55" i="44" s="1"/>
  <c r="Z73" i="44"/>
  <c r="AT91" i="44"/>
  <c r="AQ91" i="44" s="1"/>
  <c r="P53" i="44"/>
  <c r="O53" i="44" s="1"/>
  <c r="P95" i="44"/>
  <c r="M95" i="44" s="1"/>
  <c r="AT52" i="44"/>
  <c r="AS52" i="44" s="1"/>
  <c r="P88" i="44"/>
  <c r="M88" i="44" s="1"/>
  <c r="AJ90" i="44"/>
  <c r="AG90" i="44" s="1"/>
  <c r="AT48" i="44"/>
  <c r="AQ48" i="44" s="1"/>
  <c r="Z59" i="44"/>
  <c r="Y59" i="44" s="1"/>
  <c r="AT79" i="44"/>
  <c r="AQ79" i="44" s="1"/>
  <c r="P62" i="44"/>
  <c r="M62" i="44" s="1"/>
  <c r="AT67" i="44"/>
  <c r="AQ67" i="44" s="1"/>
  <c r="AT51" i="44"/>
  <c r="AQ51" i="44" s="1"/>
  <c r="P56" i="44"/>
  <c r="O56" i="44" s="1"/>
  <c r="AT53" i="44"/>
  <c r="AQ53" i="44" s="1"/>
  <c r="Z55" i="44"/>
  <c r="Y55" i="44" s="1"/>
  <c r="AT63" i="44"/>
  <c r="AS63" i="44" s="1"/>
  <c r="P92" i="44"/>
  <c r="M92" i="44" s="1"/>
  <c r="P83" i="44"/>
  <c r="M83" i="44" s="1"/>
  <c r="Z53" i="44"/>
  <c r="Y53" i="44" s="1"/>
  <c r="AT61" i="44"/>
  <c r="AQ61" i="44" s="1"/>
  <c r="AT65" i="44"/>
  <c r="AS65" i="44" s="1"/>
  <c r="AT82" i="44"/>
  <c r="AQ82" i="44" s="1"/>
  <c r="AT62" i="44"/>
  <c r="AQ62" i="44" s="1"/>
  <c r="AQ99" i="44"/>
  <c r="AS103" i="44" s="1"/>
  <c r="P59" i="44"/>
  <c r="O59" i="44" s="1"/>
  <c r="P65" i="44"/>
  <c r="O65" i="44" s="1"/>
  <c r="P51" i="44"/>
  <c r="O51" i="44" s="1"/>
  <c r="AT95" i="44"/>
  <c r="AQ95" i="44" s="1"/>
  <c r="P50" i="44"/>
  <c r="M50" i="44" s="1"/>
  <c r="P86" i="44"/>
  <c r="M86" i="44" s="1"/>
  <c r="AJ56" i="44"/>
  <c r="AG56" i="44" s="1"/>
  <c r="AT74" i="44"/>
  <c r="AQ74" i="44" s="1"/>
  <c r="Z86" i="44"/>
  <c r="W86" i="44" s="1"/>
  <c r="AT87" i="44"/>
  <c r="AQ87" i="44" s="1"/>
  <c r="P87" i="44"/>
  <c r="M87" i="44" s="1"/>
  <c r="P64" i="44"/>
  <c r="O64" i="44" s="1"/>
  <c r="E103" i="44"/>
  <c r="AT57" i="44"/>
  <c r="AQ57" i="44" s="1"/>
  <c r="AJ85" i="44"/>
  <c r="AG85" i="44" s="1"/>
  <c r="P71" i="44"/>
  <c r="M71" i="44" s="1"/>
  <c r="AT94" i="44"/>
  <c r="AQ94" i="44" s="1"/>
  <c r="AJ80" i="44"/>
  <c r="AG80" i="44" s="1"/>
  <c r="AJ49" i="44"/>
  <c r="AG49" i="44" s="1"/>
  <c r="P80" i="44"/>
  <c r="M80" i="44" s="1"/>
  <c r="Z51" i="44"/>
  <c r="W51" i="44" s="1"/>
  <c r="Z46" i="44"/>
  <c r="Y46" i="44" s="1"/>
  <c r="AT90" i="44"/>
  <c r="AQ90" i="44" s="1"/>
  <c r="P57" i="44"/>
  <c r="M57" i="44" s="1"/>
  <c r="P82" i="44"/>
  <c r="M82" i="44" s="1"/>
  <c r="P77" i="44"/>
  <c r="M77" i="44" s="1"/>
  <c r="AT84" i="44"/>
  <c r="AQ84" i="44" s="1"/>
  <c r="P89" i="44"/>
  <c r="M89" i="44" s="1"/>
  <c r="AT86" i="44"/>
  <c r="AQ86" i="44" s="1"/>
  <c r="AJ57" i="44"/>
  <c r="AG57" i="44" s="1"/>
  <c r="AJ59" i="44"/>
  <c r="AG59" i="44" s="1"/>
  <c r="P94" i="44"/>
  <c r="M94" i="44" s="1"/>
  <c r="Z83" i="44"/>
  <c r="W83" i="44" s="1"/>
  <c r="Z66" i="44"/>
  <c r="W66" i="44" s="1"/>
  <c r="AT76" i="44"/>
  <c r="AQ76" i="44" s="1"/>
  <c r="P67" i="44"/>
  <c r="M67" i="44" s="1"/>
  <c r="C51" i="44"/>
  <c r="P85" i="44"/>
  <c r="M85" i="44" s="1"/>
  <c r="Z81" i="44"/>
  <c r="W81" i="44" s="1"/>
  <c r="AJ73" i="44"/>
  <c r="AG73" i="44" s="1"/>
  <c r="AT93" i="44"/>
  <c r="AQ93" i="44" s="1"/>
  <c r="AJ93" i="44"/>
  <c r="AG93" i="44" s="1"/>
  <c r="AJ91" i="44"/>
  <c r="AG91" i="44" s="1"/>
  <c r="AT72" i="44"/>
  <c r="AQ72" i="44" s="1"/>
  <c r="Z65" i="44"/>
  <c r="Y65" i="44" s="1"/>
  <c r="Z43" i="44"/>
  <c r="W43" i="44" s="1"/>
  <c r="P52" i="44"/>
  <c r="M52" i="44" s="1"/>
  <c r="P93" i="44"/>
  <c r="M93" i="44" s="1"/>
  <c r="E44" i="44"/>
  <c r="Z48" i="44"/>
  <c r="W48" i="44" s="1"/>
  <c r="Z93" i="44"/>
  <c r="W93" i="44" s="1"/>
  <c r="Z87" i="44"/>
  <c r="W87" i="44" s="1"/>
  <c r="C81" i="44"/>
  <c r="Z84" i="44"/>
  <c r="W84" i="44" s="1"/>
  <c r="Z72" i="44"/>
  <c r="W99" i="44"/>
  <c r="Y105" i="44" s="1"/>
  <c r="Z78" i="44"/>
  <c r="W78" i="44" s="1"/>
  <c r="Z94" i="44"/>
  <c r="W94" i="44" s="1"/>
  <c r="Z58" i="44"/>
  <c r="Y58" i="44" s="1"/>
  <c r="E60" i="44"/>
  <c r="E55" i="44"/>
  <c r="Z71" i="44"/>
  <c r="W71" i="44" s="1"/>
  <c r="Z47" i="44"/>
  <c r="Z79" i="44"/>
  <c r="W79" i="44" s="1"/>
  <c r="Z89" i="44"/>
  <c r="W89" i="44" s="1"/>
  <c r="E66" i="44"/>
  <c r="Z61" i="44"/>
  <c r="Y61" i="44" s="1"/>
  <c r="Z63" i="44"/>
  <c r="W63" i="44" s="1"/>
  <c r="AJ55" i="44"/>
  <c r="AG55" i="44" s="1"/>
  <c r="AJ45" i="44"/>
  <c r="AG45" i="44" s="1"/>
  <c r="Z88" i="44"/>
  <c r="W88" i="44" s="1"/>
  <c r="Z44" i="44"/>
  <c r="Z90" i="44"/>
  <c r="W90" i="44" s="1"/>
  <c r="Z54" i="44"/>
  <c r="E65" i="44"/>
  <c r="AJ61" i="44"/>
  <c r="AI61" i="44" s="1"/>
  <c r="AJ76" i="44"/>
  <c r="AG76" i="44" s="1"/>
  <c r="AJ43" i="44"/>
  <c r="AG43" i="44" s="1"/>
  <c r="AJ48" i="44"/>
  <c r="AI48" i="44" s="1"/>
  <c r="Z56" i="44"/>
  <c r="Z75" i="44"/>
  <c r="W75" i="44" s="1"/>
  <c r="Z62" i="44"/>
  <c r="W62" i="44" s="1"/>
  <c r="Z50" i="44"/>
  <c r="Y50" i="44" s="1"/>
  <c r="P49" i="44"/>
  <c r="M49" i="44" s="1"/>
  <c r="P48" i="44"/>
  <c r="O48" i="44" s="1"/>
  <c r="C64" i="44"/>
  <c r="AJ65" i="44"/>
  <c r="AI65" i="44" s="1"/>
  <c r="Z77" i="44"/>
  <c r="Z74" i="44"/>
  <c r="W74" i="44" s="1"/>
  <c r="Z57" i="44"/>
  <c r="Y57" i="44" s="1"/>
  <c r="M99" i="44"/>
  <c r="O103" i="44" s="1"/>
  <c r="C63" i="44"/>
  <c r="Z76" i="44"/>
  <c r="AJ86" i="44"/>
  <c r="AG86" i="44" s="1"/>
  <c r="AJ50" i="44"/>
  <c r="AG50" i="44" s="1"/>
  <c r="AJ87" i="44"/>
  <c r="AG87" i="44" s="1"/>
  <c r="AJ51" i="44"/>
  <c r="AI51" i="44" s="1"/>
  <c r="AJ92" i="44"/>
  <c r="AG92" i="44" s="1"/>
  <c r="Z80" i="44"/>
  <c r="W80" i="44" s="1"/>
  <c r="Z60" i="44"/>
  <c r="Y60" i="44" s="1"/>
  <c r="AT58" i="44"/>
  <c r="AQ58" i="44" s="1"/>
  <c r="P90" i="44"/>
  <c r="M90" i="44" s="1"/>
  <c r="C46" i="44"/>
  <c r="C61" i="44"/>
  <c r="E50" i="44"/>
  <c r="E43" i="44"/>
  <c r="C56" i="44"/>
  <c r="C49" i="44"/>
  <c r="C54" i="44"/>
  <c r="C44" i="44"/>
  <c r="C57" i="44"/>
  <c r="AQ47" i="44"/>
  <c r="AG60" i="44"/>
  <c r="AI60" i="44"/>
  <c r="AJ102" i="44"/>
  <c r="AJ105" i="44"/>
  <c r="AJ103" i="44"/>
  <c r="AJ104" i="44"/>
  <c r="M58" i="44"/>
  <c r="AS49" i="44"/>
  <c r="AQ46" i="44"/>
  <c r="AS46" i="44"/>
  <c r="Y44" i="44" l="1"/>
  <c r="J373" i="44"/>
  <c r="I374" i="44"/>
  <c r="K374" i="44"/>
  <c r="W82" i="44"/>
  <c r="AG44" i="44"/>
  <c r="Y54" i="44"/>
  <c r="O66" i="44"/>
  <c r="Y52" i="44"/>
  <c r="Y49" i="44"/>
  <c r="W52" i="44"/>
  <c r="O50" i="44"/>
  <c r="Y51" i="44"/>
  <c r="AQ55" i="44"/>
  <c r="AI47" i="44"/>
  <c r="P102" i="44"/>
  <c r="AG67" i="44"/>
  <c r="P103" i="44"/>
  <c r="O43" i="44"/>
  <c r="AG63" i="44"/>
  <c r="AQ59" i="44"/>
  <c r="W46" i="44"/>
  <c r="AQ54" i="44"/>
  <c r="AI66" i="44"/>
  <c r="AQ45" i="44"/>
  <c r="W53" i="44"/>
  <c r="Y63" i="44"/>
  <c r="W64" i="44"/>
  <c r="AG53" i="44"/>
  <c r="P104" i="44"/>
  <c r="AI64" i="44"/>
  <c r="W72" i="44"/>
  <c r="C96" i="44"/>
  <c r="D103" i="44" s="1"/>
  <c r="AI54" i="44"/>
  <c r="W65" i="44"/>
  <c r="O60" i="44"/>
  <c r="Y67" i="44"/>
  <c r="AI46" i="44"/>
  <c r="AS66" i="44"/>
  <c r="O45" i="44"/>
  <c r="M53" i="44"/>
  <c r="W56" i="44"/>
  <c r="M63" i="44"/>
  <c r="AI62" i="44"/>
  <c r="Z105" i="44"/>
  <c r="AQ56" i="44"/>
  <c r="AS58" i="44"/>
  <c r="W47" i="44"/>
  <c r="AS57" i="44"/>
  <c r="W45" i="44"/>
  <c r="AI57" i="44"/>
  <c r="W59" i="44"/>
  <c r="AQ43" i="44"/>
  <c r="Y103" i="44"/>
  <c r="Z104" i="44"/>
  <c r="O54" i="44"/>
  <c r="Z103" i="44"/>
  <c r="AS50" i="44"/>
  <c r="O57" i="44"/>
  <c r="O47" i="44"/>
  <c r="AI56" i="44"/>
  <c r="AT102" i="44"/>
  <c r="AS48" i="44"/>
  <c r="AQ44" i="44"/>
  <c r="O44" i="44"/>
  <c r="W77" i="44"/>
  <c r="AS62" i="44"/>
  <c r="M51" i="44"/>
  <c r="AI103" i="44"/>
  <c r="W61" i="44"/>
  <c r="AQ52" i="44"/>
  <c r="W85" i="44"/>
  <c r="Y43" i="44"/>
  <c r="AQ65" i="44"/>
  <c r="M64" i="44"/>
  <c r="M59" i="44"/>
  <c r="W44" i="44"/>
  <c r="AT103" i="44"/>
  <c r="O46" i="44"/>
  <c r="AI59" i="44"/>
  <c r="AS61" i="44"/>
  <c r="AQ60" i="44"/>
  <c r="AT104" i="44"/>
  <c r="AG52" i="44"/>
  <c r="W76" i="44"/>
  <c r="B167" i="44"/>
  <c r="E68" i="44"/>
  <c r="D104" i="44" s="1"/>
  <c r="AI49" i="44"/>
  <c r="O61" i="44"/>
  <c r="Y56" i="44"/>
  <c r="Y47" i="44"/>
  <c r="AI58" i="44"/>
  <c r="W57" i="44"/>
  <c r="O55" i="44"/>
  <c r="AS105" i="44"/>
  <c r="W73" i="44"/>
  <c r="AS67" i="44"/>
  <c r="AS51" i="44"/>
  <c r="AG48" i="44"/>
  <c r="AQ64" i="44"/>
  <c r="AG61" i="44"/>
  <c r="M48" i="44"/>
  <c r="O49" i="44"/>
  <c r="AG96" i="44"/>
  <c r="AH103" i="44" s="1"/>
  <c r="O67" i="44"/>
  <c r="AS53" i="44"/>
  <c r="AI55" i="44"/>
  <c r="Y48" i="44"/>
  <c r="M56" i="44"/>
  <c r="Y66" i="44"/>
  <c r="W55" i="44"/>
  <c r="W50" i="44"/>
  <c r="M65" i="44"/>
  <c r="AG51" i="44"/>
  <c r="O62" i="44"/>
  <c r="AI50" i="44"/>
  <c r="Y62" i="44"/>
  <c r="W60" i="44"/>
  <c r="AQ63" i="44"/>
  <c r="O52" i="44"/>
  <c r="M96" i="44"/>
  <c r="N103" i="44" s="1"/>
  <c r="AQ96" i="44"/>
  <c r="AR103" i="44" s="1"/>
  <c r="W54" i="44"/>
  <c r="O105" i="44"/>
  <c r="AI43" i="44"/>
  <c r="W58" i="44"/>
  <c r="AG65" i="44"/>
  <c r="AI45" i="44"/>
  <c r="C68" i="44"/>
  <c r="D102" i="44" s="1"/>
  <c r="C108" i="44" s="1"/>
  <c r="G323" i="44" s="1"/>
  <c r="K375" i="44" l="1"/>
  <c r="I375" i="44"/>
  <c r="J374" i="44"/>
  <c r="G347" i="44"/>
  <c r="G324" i="44"/>
  <c r="G331" i="44" s="1"/>
  <c r="G332" i="44" s="1"/>
  <c r="M108" i="44"/>
  <c r="I323" i="44" s="1"/>
  <c r="W96" i="44"/>
  <c r="X105" i="44" s="1"/>
  <c r="D105" i="44"/>
  <c r="AS68" i="44"/>
  <c r="AR104" i="44" s="1"/>
  <c r="O68" i="44"/>
  <c r="N104" i="44" s="1"/>
  <c r="AQ68" i="44"/>
  <c r="AR102" i="44" s="1"/>
  <c r="AQ108" i="44" s="1"/>
  <c r="O323" i="44" s="1"/>
  <c r="AH105" i="44"/>
  <c r="AG108" i="44" s="1"/>
  <c r="M323" i="44" s="1"/>
  <c r="Y68" i="44"/>
  <c r="X104" i="44" s="1"/>
  <c r="W108" i="44" s="1"/>
  <c r="B168" i="44"/>
  <c r="AI68" i="44"/>
  <c r="AH104" i="44" s="1"/>
  <c r="W68" i="44"/>
  <c r="X102" i="44" s="1"/>
  <c r="AR105" i="44"/>
  <c r="M68" i="44"/>
  <c r="N102" i="44" s="1"/>
  <c r="AG68" i="44"/>
  <c r="AH102" i="44" s="1"/>
  <c r="N105" i="44"/>
  <c r="AD11" i="42"/>
  <c r="X103" i="44" l="1"/>
  <c r="J375" i="44"/>
  <c r="I376" i="44"/>
  <c r="K376" i="44"/>
  <c r="K323" i="44"/>
  <c r="M347" i="44"/>
  <c r="M324" i="44"/>
  <c r="M331" i="44" s="1"/>
  <c r="M332" i="44" s="1"/>
  <c r="I347" i="44"/>
  <c r="I324" i="44"/>
  <c r="I331" i="44" s="1"/>
  <c r="I332" i="44" s="1"/>
  <c r="O324" i="44"/>
  <c r="O331" i="44" s="1"/>
  <c r="O332" i="44" s="1"/>
  <c r="O347" i="44"/>
  <c r="G333" i="44"/>
  <c r="G334" i="44" s="1"/>
  <c r="G328" i="44"/>
  <c r="G329" i="44" s="1"/>
  <c r="G330" i="44"/>
  <c r="AF11" i="42"/>
  <c r="AL11" i="42"/>
  <c r="AJ11" i="42"/>
  <c r="AD14" i="42"/>
  <c r="AD10" i="42" s="1"/>
  <c r="U11" i="42" s="1"/>
  <c r="B169" i="44"/>
  <c r="K377" i="44" l="1"/>
  <c r="I377" i="44"/>
  <c r="J377" i="44" s="1"/>
  <c r="J376" i="44"/>
  <c r="O333" i="44"/>
  <c r="O334" i="44" s="1"/>
  <c r="I333" i="44"/>
  <c r="I334" i="44" s="1"/>
  <c r="I328" i="44"/>
  <c r="I329" i="44" s="1"/>
  <c r="I330" i="44"/>
  <c r="M333" i="44"/>
  <c r="M334" i="44" s="1"/>
  <c r="G326" i="44"/>
  <c r="G327" i="44"/>
  <c r="G355" i="44" s="1"/>
  <c r="M328" i="44"/>
  <c r="M329" i="44" s="1"/>
  <c r="M330" i="44"/>
  <c r="K347" i="44"/>
  <c r="K324" i="44"/>
  <c r="K331" i="44" s="1"/>
  <c r="K332" i="44" s="1"/>
  <c r="O328" i="44"/>
  <c r="O329" i="44" s="1"/>
  <c r="O330" i="44"/>
  <c r="AH11" i="42"/>
  <c r="AJ14" i="42"/>
  <c r="AJ10" i="42" s="1"/>
  <c r="U14" i="42" s="1"/>
  <c r="V16" i="42"/>
  <c r="AF14" i="42"/>
  <c r="AF10" i="42" s="1"/>
  <c r="U12" i="42" s="1"/>
  <c r="AL14" i="42"/>
  <c r="AL10" i="42" s="1"/>
  <c r="U15" i="42" s="1"/>
  <c r="B170" i="44"/>
  <c r="AD9" i="42"/>
  <c r="V11" i="42" s="1"/>
  <c r="K328" i="44" l="1"/>
  <c r="K329" i="44"/>
  <c r="K330" i="44"/>
  <c r="AH9" i="42" s="1"/>
  <c r="V13" i="42" s="1"/>
  <c r="G354" i="44"/>
  <c r="G325" i="44"/>
  <c r="G352" i="44" s="1"/>
  <c r="G353" i="44" s="1"/>
  <c r="M326" i="44"/>
  <c r="M327" i="44"/>
  <c r="M355" i="44" s="1"/>
  <c r="K333" i="44"/>
  <c r="K334" i="44" s="1"/>
  <c r="I326" i="44"/>
  <c r="I327" i="44"/>
  <c r="I355" i="44" s="1"/>
  <c r="AH14" i="42"/>
  <c r="AH10" i="42" s="1"/>
  <c r="U13" i="42" s="1"/>
  <c r="AA33" i="42"/>
  <c r="AA34" i="42" s="1"/>
  <c r="C112" i="44" s="1"/>
  <c r="O327" i="44"/>
  <c r="O355" i="44" s="1"/>
  <c r="O326" i="44"/>
  <c r="AJ9" i="42"/>
  <c r="V14" i="42" s="1"/>
  <c r="AD8" i="42"/>
  <c r="AD12" i="42" s="1"/>
  <c r="B171" i="44"/>
  <c r="AF9" i="42"/>
  <c r="V12" i="42" s="1"/>
  <c r="AL9" i="42"/>
  <c r="V15" i="42" s="1"/>
  <c r="O354" i="44" l="1"/>
  <c r="O325" i="44"/>
  <c r="O352" i="44" s="1"/>
  <c r="O353" i="44" s="1"/>
  <c r="I354" i="44"/>
  <c r="I325" i="44"/>
  <c r="M354" i="44"/>
  <c r="M325" i="44"/>
  <c r="M352" i="44" s="1"/>
  <c r="M353" i="44" s="1"/>
  <c r="F113" i="44"/>
  <c r="K23" i="42"/>
  <c r="C363" i="44"/>
  <c r="C360" i="44"/>
  <c r="C358" i="44"/>
  <c r="C362" i="44"/>
  <c r="C359" i="44"/>
  <c r="C355" i="44"/>
  <c r="C357" i="44"/>
  <c r="C356" i="44"/>
  <c r="G356" i="44" s="1"/>
  <c r="C354" i="44"/>
  <c r="C361" i="44"/>
  <c r="K326" i="44"/>
  <c r="K327" i="44"/>
  <c r="K355" i="44" s="1"/>
  <c r="AD13" i="42"/>
  <c r="T11" i="42"/>
  <c r="B172" i="44"/>
  <c r="AJ8" i="42"/>
  <c r="AL8" i="42"/>
  <c r="M356" i="44" l="1"/>
  <c r="M357" i="44"/>
  <c r="G357" i="44"/>
  <c r="I357" i="44"/>
  <c r="K357" i="44"/>
  <c r="O357" i="44"/>
  <c r="I352" i="44"/>
  <c r="I353" i="44" s="1"/>
  <c r="AF8" i="42"/>
  <c r="F114" i="44"/>
  <c r="F115" i="44" s="1"/>
  <c r="C172" i="44" s="1"/>
  <c r="D172" i="44" s="1"/>
  <c r="I356" i="44"/>
  <c r="K354" i="44"/>
  <c r="K356" i="44" s="1"/>
  <c r="K325" i="44"/>
  <c r="K352" i="44" s="1"/>
  <c r="K353" i="44" s="1"/>
  <c r="O356" i="44"/>
  <c r="B173" i="44"/>
  <c r="AJ12" i="42"/>
  <c r="T14" i="42"/>
  <c r="AJ13" i="42"/>
  <c r="T15" i="42"/>
  <c r="AL12" i="42"/>
  <c r="AL13" i="42"/>
  <c r="AH8" i="42" l="1"/>
  <c r="C168" i="44"/>
  <c r="C120" i="44"/>
  <c r="C136" i="44"/>
  <c r="C152" i="44"/>
  <c r="C139" i="44"/>
  <c r="C126" i="44"/>
  <c r="C142" i="44"/>
  <c r="C158" i="44"/>
  <c r="C127" i="44"/>
  <c r="C143" i="44"/>
  <c r="C167" i="44"/>
  <c r="C122" i="44"/>
  <c r="C137" i="44"/>
  <c r="C153" i="44"/>
  <c r="C121" i="44"/>
  <c r="C138" i="44"/>
  <c r="C154" i="44"/>
  <c r="C124" i="44"/>
  <c r="C156" i="44"/>
  <c r="C125" i="44"/>
  <c r="C141" i="44"/>
  <c r="C157" i="44"/>
  <c r="C159" i="44"/>
  <c r="C150" i="44"/>
  <c r="C123" i="44"/>
  <c r="C155" i="44"/>
  <c r="C140" i="44"/>
  <c r="C134" i="44"/>
  <c r="C144" i="44"/>
  <c r="C161" i="44"/>
  <c r="C130" i="44"/>
  <c r="C162" i="44"/>
  <c r="C160" i="44"/>
  <c r="C147" i="44"/>
  <c r="C133" i="44"/>
  <c r="C149" i="44"/>
  <c r="C169" i="44"/>
  <c r="C135" i="44"/>
  <c r="C128" i="44"/>
  <c r="C145" i="44"/>
  <c r="C164" i="44"/>
  <c r="C129" i="44"/>
  <c r="C131" i="44"/>
  <c r="C163" i="44"/>
  <c r="C132" i="44"/>
  <c r="C148" i="44"/>
  <c r="C165" i="44"/>
  <c r="C166" i="44"/>
  <c r="C151" i="44"/>
  <c r="C146" i="44"/>
  <c r="C119" i="44"/>
  <c r="C170" i="44"/>
  <c r="C171" i="44"/>
  <c r="T12" i="42"/>
  <c r="AF12" i="42"/>
  <c r="AF13" i="42"/>
  <c r="E356" i="44"/>
  <c r="E363" i="44"/>
  <c r="E355" i="44"/>
  <c r="E357" i="44"/>
  <c r="E361" i="44"/>
  <c r="E358" i="44"/>
  <c r="E362" i="44"/>
  <c r="E359" i="44"/>
  <c r="E360" i="44"/>
  <c r="E354" i="44"/>
  <c r="F172" i="44"/>
  <c r="E172" i="44"/>
  <c r="C173" i="44"/>
  <c r="D173" i="44" s="1"/>
  <c r="B174" i="44"/>
  <c r="AH13" i="42"/>
  <c r="AH12" i="42"/>
  <c r="T13" i="42"/>
  <c r="D162" i="44" l="1"/>
  <c r="F162" i="44"/>
  <c r="E162" i="44"/>
  <c r="D138" i="44"/>
  <c r="E138" i="44"/>
  <c r="F138" i="44"/>
  <c r="D144" i="44"/>
  <c r="E144" i="44"/>
  <c r="F144" i="44"/>
  <c r="D143" i="44"/>
  <c r="F143" i="44"/>
  <c r="E143" i="44"/>
  <c r="D127" i="44"/>
  <c r="F127" i="44"/>
  <c r="E127" i="44"/>
  <c r="D153" i="44"/>
  <c r="E153" i="44"/>
  <c r="F153" i="44"/>
  <c r="D134" i="44"/>
  <c r="F134" i="44"/>
  <c r="E134" i="44"/>
  <c r="D140" i="44"/>
  <c r="E140" i="44"/>
  <c r="F140" i="44"/>
  <c r="D158" i="44"/>
  <c r="E158" i="44"/>
  <c r="F158" i="44"/>
  <c r="D137" i="44"/>
  <c r="E137" i="44"/>
  <c r="F137" i="44"/>
  <c r="D142" i="44"/>
  <c r="F142" i="44"/>
  <c r="E142" i="44"/>
  <c r="D165" i="44"/>
  <c r="F165" i="44"/>
  <c r="E165" i="44"/>
  <c r="D164" i="44"/>
  <c r="E164" i="44"/>
  <c r="F164" i="44"/>
  <c r="D145" i="44"/>
  <c r="F145" i="44"/>
  <c r="E145" i="44"/>
  <c r="D126" i="44"/>
  <c r="F126" i="44"/>
  <c r="E126" i="44"/>
  <c r="D161" i="44"/>
  <c r="E161" i="44"/>
  <c r="F161" i="44"/>
  <c r="D159" i="44"/>
  <c r="E159" i="44"/>
  <c r="F159" i="44"/>
  <c r="D171" i="44"/>
  <c r="E171" i="44"/>
  <c r="F171" i="44"/>
  <c r="D139" i="44"/>
  <c r="E139" i="44"/>
  <c r="F139" i="44"/>
  <c r="D130" i="44"/>
  <c r="F130" i="44"/>
  <c r="E130" i="44"/>
  <c r="D132" i="44"/>
  <c r="E132" i="44"/>
  <c r="F132" i="44"/>
  <c r="D129" i="44"/>
  <c r="F129" i="44"/>
  <c r="E129" i="44"/>
  <c r="D157" i="44"/>
  <c r="F157" i="44"/>
  <c r="E157" i="44"/>
  <c r="D149" i="44"/>
  <c r="F149" i="44"/>
  <c r="E149" i="44"/>
  <c r="D125" i="44"/>
  <c r="E125" i="44"/>
  <c r="F125" i="44"/>
  <c r="D152" i="44"/>
  <c r="E152" i="44"/>
  <c r="F152" i="44"/>
  <c r="D166" i="44"/>
  <c r="E166" i="44"/>
  <c r="F166" i="44"/>
  <c r="D148" i="44"/>
  <c r="F148" i="44"/>
  <c r="E148" i="44"/>
  <c r="D122" i="44"/>
  <c r="F122" i="44"/>
  <c r="E122" i="44"/>
  <c r="D131" i="44"/>
  <c r="F131" i="44"/>
  <c r="E131" i="44"/>
  <c r="D155" i="44"/>
  <c r="E155" i="44"/>
  <c r="F155" i="44"/>
  <c r="D123" i="44"/>
  <c r="F123" i="44"/>
  <c r="E123" i="44"/>
  <c r="D150" i="44"/>
  <c r="F150" i="44"/>
  <c r="E150" i="44"/>
  <c r="D133" i="44"/>
  <c r="E133" i="44"/>
  <c r="F133" i="44"/>
  <c r="D156" i="44"/>
  <c r="F156" i="44"/>
  <c r="E156" i="44"/>
  <c r="D136" i="44"/>
  <c r="E136" i="44"/>
  <c r="F136" i="44"/>
  <c r="D128" i="44"/>
  <c r="E128" i="44"/>
  <c r="F128" i="44"/>
  <c r="D135" i="44"/>
  <c r="F135" i="44"/>
  <c r="E135" i="44"/>
  <c r="F169" i="44"/>
  <c r="D169" i="44"/>
  <c r="E169" i="44"/>
  <c r="D170" i="44"/>
  <c r="F170" i="44"/>
  <c r="E170" i="44"/>
  <c r="D147" i="44"/>
  <c r="F147" i="44"/>
  <c r="E147" i="44"/>
  <c r="D124" i="44"/>
  <c r="E124" i="44"/>
  <c r="F124" i="44"/>
  <c r="D120" i="44"/>
  <c r="F120" i="44"/>
  <c r="E120" i="44"/>
  <c r="D121" i="44"/>
  <c r="E121" i="44"/>
  <c r="F121" i="44"/>
  <c r="D163" i="44"/>
  <c r="E163" i="44"/>
  <c r="F163" i="44"/>
  <c r="D167" i="44"/>
  <c r="E167" i="44"/>
  <c r="F167" i="44"/>
  <c r="D141" i="44"/>
  <c r="E141" i="44"/>
  <c r="F141" i="44"/>
  <c r="D119" i="44"/>
  <c r="F119" i="44"/>
  <c r="E119" i="44"/>
  <c r="D146" i="44"/>
  <c r="F146" i="44"/>
  <c r="E146" i="44"/>
  <c r="D151" i="44"/>
  <c r="E151" i="44"/>
  <c r="F151" i="44"/>
  <c r="D160" i="44"/>
  <c r="E160" i="44"/>
  <c r="F160" i="44"/>
  <c r="D154" i="44"/>
  <c r="F154" i="44"/>
  <c r="E154" i="44"/>
  <c r="E168" i="44"/>
  <c r="F168" i="44"/>
  <c r="D168" i="44"/>
  <c r="E173" i="44"/>
  <c r="F173" i="44"/>
  <c r="C174" i="44"/>
  <c r="D174" i="44" s="1"/>
  <c r="B175" i="44"/>
  <c r="F174" i="44" l="1"/>
  <c r="E174" i="44"/>
  <c r="B176" i="44"/>
  <c r="C175" i="44"/>
  <c r="D175" i="44" s="1"/>
  <c r="E175" i="44" l="1"/>
  <c r="F175" i="44"/>
  <c r="C176" i="44"/>
  <c r="D176" i="44" s="1"/>
  <c r="B177" i="44"/>
  <c r="E176" i="44" l="1"/>
  <c r="F176" i="44"/>
  <c r="C177" i="44"/>
  <c r="D177" i="44" s="1"/>
  <c r="B178" i="44"/>
  <c r="F177" i="44"/>
  <c r="E177" i="44" l="1"/>
  <c r="B179" i="44"/>
  <c r="C178" i="44"/>
  <c r="D178" i="44" s="1"/>
  <c r="E178" i="44"/>
  <c r="F178" i="44"/>
  <c r="C179" i="44" l="1"/>
  <c r="D179" i="44" s="1"/>
  <c r="B180" i="44"/>
  <c r="E179" i="44"/>
  <c r="F179" i="44"/>
  <c r="C180" i="44" l="1"/>
  <c r="D180" i="44" s="1"/>
  <c r="B181" i="44"/>
  <c r="E180" i="44"/>
  <c r="F180" i="44" l="1"/>
  <c r="C181" i="44"/>
  <c r="D181" i="44" s="1"/>
  <c r="B182" i="44"/>
  <c r="E181" i="44" l="1"/>
  <c r="F181" i="44"/>
  <c r="C182" i="44"/>
  <c r="D182" i="44" s="1"/>
  <c r="B183" i="44"/>
  <c r="F182" i="44" l="1"/>
  <c r="E182" i="44"/>
  <c r="C183" i="44"/>
  <c r="D183" i="44" s="1"/>
  <c r="B184" i="44"/>
  <c r="F183" i="44" l="1"/>
  <c r="E183" i="44"/>
  <c r="C184" i="44"/>
  <c r="D184" i="44" s="1"/>
  <c r="B185" i="44"/>
  <c r="E184" i="44" l="1"/>
  <c r="F184" i="44"/>
  <c r="B186" i="44"/>
  <c r="C185" i="44"/>
  <c r="D185" i="44" s="1"/>
  <c r="E185" i="44"/>
  <c r="F185" i="44" l="1"/>
  <c r="C186" i="44"/>
  <c r="D186" i="44" s="1"/>
  <c r="B187" i="44"/>
  <c r="E186" i="44"/>
  <c r="F186" i="44"/>
  <c r="C187" i="44" l="1"/>
  <c r="D187" i="44" s="1"/>
  <c r="B188" i="44"/>
  <c r="E187" i="44"/>
  <c r="F187" i="44"/>
  <c r="B189" i="44" l="1"/>
  <c r="C188" i="44"/>
  <c r="D188" i="44" s="1"/>
  <c r="F188" i="44"/>
  <c r="E188" i="44"/>
  <c r="C189" i="44" l="1"/>
  <c r="D189" i="44" s="1"/>
  <c r="B190" i="44"/>
  <c r="F189" i="44"/>
  <c r="E189" i="44"/>
  <c r="C190" i="44" l="1"/>
  <c r="D190" i="44" s="1"/>
  <c r="B191" i="44"/>
  <c r="F190" i="44"/>
  <c r="E190" i="44"/>
  <c r="B192" i="44" l="1"/>
  <c r="C191" i="44"/>
  <c r="D191" i="44" s="1"/>
  <c r="E191" i="44"/>
  <c r="F191" i="44"/>
  <c r="C192" i="44" l="1"/>
  <c r="D192" i="44" s="1"/>
  <c r="B193" i="44"/>
  <c r="E192" i="44"/>
  <c r="F192" i="44" l="1"/>
  <c r="B194" i="44"/>
  <c r="C193" i="44"/>
  <c r="D193" i="44" s="1"/>
  <c r="E193" i="44" l="1"/>
  <c r="F193" i="44"/>
  <c r="B195" i="44"/>
  <c r="C194" i="44"/>
  <c r="D194" i="44" s="1"/>
  <c r="F194" i="44" l="1"/>
  <c r="E194" i="44"/>
  <c r="C195" i="44"/>
  <c r="D195" i="44" s="1"/>
  <c r="B196" i="44"/>
  <c r="E195" i="44" l="1"/>
  <c r="F195" i="44"/>
  <c r="C196" i="44"/>
  <c r="D196" i="44" s="1"/>
  <c r="B197" i="44"/>
  <c r="F196" i="44" l="1"/>
  <c r="E196" i="44"/>
  <c r="C197" i="44"/>
  <c r="D197" i="44" s="1"/>
  <c r="B198" i="44"/>
  <c r="E197" i="44" l="1"/>
  <c r="F197" i="44"/>
  <c r="C198" i="44"/>
  <c r="D198" i="44" s="1"/>
  <c r="B199" i="44"/>
  <c r="F198" i="44" l="1"/>
  <c r="E198" i="44"/>
  <c r="C199" i="44"/>
  <c r="D199" i="44" s="1"/>
  <c r="B200" i="44"/>
  <c r="E199" i="44" l="1"/>
  <c r="F199" i="44"/>
  <c r="B201" i="44"/>
  <c r="C200" i="44"/>
  <c r="D200" i="44" s="1"/>
  <c r="F200" i="44" l="1"/>
  <c r="E200" i="44"/>
  <c r="B202" i="44"/>
  <c r="C201" i="44"/>
  <c r="D201" i="44" s="1"/>
  <c r="F201" i="44"/>
  <c r="E201" i="44" l="1"/>
  <c r="C202" i="44"/>
  <c r="D202" i="44" s="1"/>
  <c r="B203" i="44"/>
  <c r="F202" i="44" l="1"/>
  <c r="E202" i="44"/>
  <c r="C203" i="44"/>
  <c r="D203" i="44" s="1"/>
  <c r="B204" i="44"/>
  <c r="F203" i="44"/>
  <c r="E203" i="44" l="1"/>
  <c r="B205" i="44"/>
  <c r="C204" i="44"/>
  <c r="D204" i="44" s="1"/>
  <c r="F204" i="44" l="1"/>
  <c r="E204" i="44"/>
  <c r="C205" i="44"/>
  <c r="D205" i="44" s="1"/>
  <c r="B206" i="44"/>
  <c r="F205" i="44"/>
  <c r="E205" i="44"/>
  <c r="C206" i="44" l="1"/>
  <c r="D206" i="44" s="1"/>
  <c r="B207" i="44"/>
  <c r="E206" i="44"/>
  <c r="F206" i="44"/>
  <c r="B208" i="44" l="1"/>
  <c r="C207" i="44"/>
  <c r="D207" i="44" s="1"/>
  <c r="E207" i="44"/>
  <c r="F207" i="44" l="1"/>
  <c r="C208" i="44"/>
  <c r="D208" i="44" s="1"/>
  <c r="B209" i="44"/>
  <c r="E208" i="44" l="1"/>
  <c r="F208" i="44"/>
  <c r="B210" i="44"/>
  <c r="C209" i="44"/>
  <c r="D209" i="44" s="1"/>
  <c r="E209" i="44" l="1"/>
  <c r="F209" i="44"/>
  <c r="B211" i="44"/>
  <c r="C210" i="44"/>
  <c r="D210" i="44" s="1"/>
  <c r="F210" i="44" l="1"/>
  <c r="E210" i="44"/>
  <c r="C211" i="44"/>
  <c r="D211" i="44" s="1"/>
  <c r="B212" i="44"/>
  <c r="E211" i="44" l="1"/>
  <c r="F211" i="44"/>
  <c r="C212" i="44"/>
  <c r="D212" i="44" s="1"/>
  <c r="B213" i="44"/>
  <c r="E212" i="44" l="1"/>
  <c r="F212" i="44"/>
  <c r="B214" i="44"/>
  <c r="C213" i="44"/>
  <c r="D213" i="44" s="1"/>
  <c r="F213" i="44" l="1"/>
  <c r="E213" i="44"/>
  <c r="C214" i="44"/>
  <c r="D214" i="44" s="1"/>
  <c r="B215" i="44"/>
  <c r="F214" i="44" l="1"/>
  <c r="E214" i="44"/>
  <c r="C215" i="44"/>
  <c r="D215" i="44" s="1"/>
  <c r="B216" i="44"/>
  <c r="E215" i="44" l="1"/>
  <c r="F215" i="44"/>
  <c r="C216" i="44"/>
  <c r="D216" i="44" s="1"/>
  <c r="B217" i="44"/>
  <c r="E216" i="44" l="1"/>
  <c r="F216" i="44"/>
  <c r="B218" i="44"/>
  <c r="C217" i="44"/>
  <c r="D217" i="44" s="1"/>
  <c r="F217" i="44" l="1"/>
  <c r="E217" i="44"/>
  <c r="C218" i="44"/>
  <c r="D218" i="44" s="1"/>
  <c r="B219" i="44"/>
  <c r="E218" i="44"/>
  <c r="F218" i="44" l="1"/>
  <c r="C219" i="44"/>
  <c r="D219" i="44" s="1"/>
  <c r="B220" i="44"/>
  <c r="E219" i="44"/>
  <c r="F219" i="44" l="1"/>
  <c r="B221" i="44"/>
  <c r="C220" i="44"/>
  <c r="F220" i="44" s="1"/>
  <c r="E220" i="44" l="1"/>
  <c r="D220" i="44"/>
  <c r="C221" i="44"/>
  <c r="D221" i="44" s="1"/>
  <c r="B222" i="44"/>
  <c r="E221" i="44" l="1"/>
  <c r="F221" i="44"/>
  <c r="C222" i="44"/>
  <c r="D222" i="44" s="1"/>
  <c r="B223" i="44"/>
  <c r="E222" i="44" l="1"/>
  <c r="F222" i="44"/>
  <c r="B224" i="44"/>
  <c r="C223" i="44"/>
  <c r="D223" i="44" s="1"/>
  <c r="F223" i="44" l="1"/>
  <c r="E223" i="44"/>
  <c r="C224" i="44"/>
  <c r="F224" i="44" s="1"/>
  <c r="B225" i="44"/>
  <c r="E224" i="44" l="1"/>
  <c r="D224" i="44"/>
  <c r="C225" i="44"/>
  <c r="B226" i="44"/>
  <c r="F225" i="44" l="1"/>
  <c r="D225" i="44"/>
  <c r="E225" i="44"/>
  <c r="B227" i="44"/>
  <c r="C226" i="44"/>
  <c r="E226" i="44" s="1"/>
  <c r="F226" i="44" l="1"/>
  <c r="D226" i="44"/>
  <c r="C227" i="44"/>
  <c r="D227" i="44" s="1"/>
  <c r="B228" i="44"/>
  <c r="F227" i="44" l="1"/>
  <c r="E227" i="44"/>
  <c r="C228" i="44"/>
  <c r="E228" i="44" s="1"/>
  <c r="B229" i="44"/>
  <c r="F228" i="44" l="1"/>
  <c r="D228" i="44"/>
  <c r="C229" i="44"/>
  <c r="D229" i="44" s="1"/>
  <c r="B230" i="44"/>
  <c r="E229" i="44" l="1"/>
  <c r="F229" i="44"/>
  <c r="C230" i="44"/>
  <c r="D230" i="44" s="1"/>
  <c r="B231" i="44"/>
  <c r="E230" i="44" l="1"/>
  <c r="F230" i="44"/>
  <c r="C231" i="44"/>
  <c r="D231" i="44" s="1"/>
  <c r="B232" i="44"/>
  <c r="F231" i="44" l="1"/>
  <c r="E231" i="44"/>
  <c r="C232" i="44"/>
  <c r="D232" i="44" s="1"/>
  <c r="B233" i="44"/>
  <c r="E232" i="44" l="1"/>
  <c r="F232" i="44"/>
  <c r="B234" i="44"/>
  <c r="C233" i="44"/>
  <c r="D233" i="44" s="1"/>
  <c r="F233" i="44" l="1"/>
  <c r="E233" i="44"/>
  <c r="C234" i="44"/>
  <c r="D234" i="44" s="1"/>
  <c r="B235" i="44"/>
  <c r="E234" i="44" l="1"/>
  <c r="F234" i="44"/>
  <c r="B236" i="44"/>
  <c r="C235" i="44"/>
  <c r="D235" i="44" s="1"/>
  <c r="F235" i="44" l="1"/>
  <c r="E235" i="44"/>
  <c r="B237" i="44"/>
  <c r="C236" i="44"/>
  <c r="D236" i="44" s="1"/>
  <c r="F236" i="44" l="1"/>
  <c r="E236" i="44"/>
  <c r="C237" i="44"/>
  <c r="D237" i="44" s="1"/>
  <c r="B238" i="44"/>
  <c r="E237" i="44" l="1"/>
  <c r="F237" i="44"/>
  <c r="C238" i="44"/>
  <c r="D238" i="44" s="1"/>
  <c r="B239" i="44"/>
  <c r="E238" i="44" l="1"/>
  <c r="F238" i="44"/>
  <c r="B240" i="44"/>
  <c r="C239" i="44"/>
  <c r="F239" i="44" l="1"/>
  <c r="D239" i="44"/>
  <c r="E239" i="44"/>
  <c r="C240" i="44"/>
  <c r="B241" i="44"/>
  <c r="F240" i="44" l="1"/>
  <c r="D240" i="44"/>
  <c r="E240" i="44"/>
  <c r="B242" i="44"/>
  <c r="C241" i="44"/>
  <c r="F241" i="44" s="1"/>
  <c r="E241" i="44" l="1"/>
  <c r="D241" i="44"/>
  <c r="B243" i="44"/>
  <c r="C242" i="44"/>
  <c r="E242" i="44" s="1"/>
  <c r="F242" i="44" l="1"/>
  <c r="D242" i="44"/>
  <c r="C243" i="44"/>
  <c r="D243" i="44" s="1"/>
  <c r="B244" i="44"/>
  <c r="E243" i="44" l="1"/>
  <c r="F243" i="44"/>
  <c r="C244" i="44"/>
  <c r="D244" i="44" s="1"/>
  <c r="B245" i="44"/>
  <c r="F244" i="44" l="1"/>
  <c r="E244" i="44"/>
  <c r="B246" i="44"/>
  <c r="C245" i="44"/>
  <c r="E245" i="44" l="1"/>
  <c r="D245" i="44"/>
  <c r="F245" i="44"/>
  <c r="C246" i="44"/>
  <c r="E246" i="44" s="1"/>
  <c r="B247" i="44"/>
  <c r="F246" i="44" l="1"/>
  <c r="D246" i="44"/>
  <c r="C247" i="44"/>
  <c r="D247" i="44" s="1"/>
  <c r="B248" i="44"/>
  <c r="F247" i="44" l="1"/>
  <c r="E247" i="44"/>
  <c r="C248" i="44"/>
  <c r="D248" i="44" s="1"/>
  <c r="B249" i="44"/>
  <c r="E248" i="44" l="1"/>
  <c r="F248" i="44"/>
  <c r="B250" i="44"/>
  <c r="C249" i="44"/>
  <c r="F249" i="44" s="1"/>
  <c r="E249" i="44" l="1"/>
  <c r="D249" i="44"/>
  <c r="C250" i="44"/>
  <c r="D250" i="44" s="1"/>
  <c r="B251" i="44"/>
  <c r="E250" i="44" l="1"/>
  <c r="F250" i="44"/>
  <c r="C251" i="44"/>
  <c r="D251" i="44" s="1"/>
  <c r="B252" i="44"/>
  <c r="F251" i="44" l="1"/>
  <c r="E251" i="44"/>
  <c r="B253" i="44"/>
  <c r="C252" i="44"/>
  <c r="F252" i="44" s="1"/>
  <c r="E252" i="44" l="1"/>
  <c r="D252" i="44"/>
  <c r="C253" i="44"/>
  <c r="D253" i="44" s="1"/>
  <c r="B254" i="44"/>
  <c r="E253" i="44" l="1"/>
  <c r="F253" i="44"/>
  <c r="C254" i="44"/>
  <c r="D254" i="44" s="1"/>
  <c r="B255" i="44"/>
  <c r="E254" i="44" l="1"/>
  <c r="F254" i="44"/>
  <c r="B256" i="44"/>
  <c r="C255" i="44"/>
  <c r="E255" i="44" l="1"/>
  <c r="D255" i="44"/>
  <c r="F255" i="44"/>
  <c r="C256" i="44"/>
  <c r="B257" i="44"/>
  <c r="F256" i="44" l="1"/>
  <c r="D256" i="44"/>
  <c r="E256" i="44"/>
  <c r="C257" i="44"/>
  <c r="F257" i="44" s="1"/>
  <c r="B258" i="44"/>
  <c r="E257" i="44" l="1"/>
  <c r="D257" i="44"/>
  <c r="B259" i="44"/>
  <c r="C258" i="44"/>
  <c r="F258" i="44" s="1"/>
  <c r="E258" i="44" l="1"/>
  <c r="D258" i="44"/>
  <c r="C259" i="44"/>
  <c r="D259" i="44" s="1"/>
  <c r="B260" i="44"/>
  <c r="E259" i="44" l="1"/>
  <c r="F259" i="44"/>
  <c r="C260" i="44"/>
  <c r="D260" i="44" s="1"/>
  <c r="B261" i="44"/>
  <c r="F260" i="44" l="1"/>
  <c r="E260" i="44"/>
  <c r="C261" i="44"/>
  <c r="D261" i="44" s="1"/>
  <c r="B262" i="44"/>
  <c r="F261" i="44" l="1"/>
  <c r="E261" i="44"/>
  <c r="C262" i="44"/>
  <c r="D262" i="44" s="1"/>
  <c r="B263" i="44"/>
  <c r="E262" i="44" l="1"/>
  <c r="F262" i="44"/>
  <c r="C263" i="44"/>
  <c r="B264" i="44"/>
  <c r="E263" i="44" l="1"/>
  <c r="D263" i="44"/>
  <c r="F263" i="44"/>
  <c r="C264" i="44"/>
  <c r="D264" i="44" s="1"/>
  <c r="B265" i="44"/>
  <c r="F264" i="44" l="1"/>
  <c r="E264" i="44"/>
  <c r="B266" i="44"/>
  <c r="C265" i="44"/>
  <c r="D265" i="44" s="1"/>
  <c r="E265" i="44" l="1"/>
  <c r="F265" i="44"/>
  <c r="C266" i="44"/>
  <c r="D266" i="44" s="1"/>
  <c r="B267" i="44"/>
  <c r="E266" i="44" l="1"/>
  <c r="F266" i="44"/>
  <c r="C267" i="44"/>
  <c r="D267" i="44" s="1"/>
  <c r="B268" i="44"/>
  <c r="E267" i="44" l="1"/>
  <c r="F267" i="44"/>
  <c r="B269" i="44"/>
  <c r="C268" i="44"/>
  <c r="D268" i="44" s="1"/>
  <c r="F268" i="44" l="1"/>
  <c r="E268" i="44"/>
  <c r="C269" i="44"/>
  <c r="D269" i="44" s="1"/>
  <c r="B270" i="44"/>
  <c r="E269" i="44" l="1"/>
  <c r="F269" i="44"/>
  <c r="C270" i="44"/>
  <c r="D270" i="44" s="1"/>
  <c r="B271" i="44"/>
  <c r="F270" i="44" l="1"/>
  <c r="E270" i="44"/>
  <c r="B272" i="44"/>
  <c r="C271" i="44"/>
  <c r="D271" i="44" s="1"/>
  <c r="F271" i="44" l="1"/>
  <c r="E271" i="44"/>
  <c r="C272" i="44"/>
  <c r="D272" i="44" s="1"/>
  <c r="B273" i="44"/>
  <c r="E272" i="44" l="1"/>
  <c r="F272" i="44"/>
  <c r="B274" i="44"/>
  <c r="C273" i="44"/>
  <c r="F273" i="44" l="1"/>
  <c r="D273" i="44"/>
  <c r="E273" i="44"/>
  <c r="B275" i="44"/>
  <c r="C274" i="44"/>
  <c r="D274" i="44" s="1"/>
  <c r="F274" i="44" l="1"/>
  <c r="E274" i="44"/>
  <c r="C275" i="44"/>
  <c r="D275" i="44" s="1"/>
  <c r="B276" i="44"/>
  <c r="F275" i="44" l="1"/>
  <c r="E275" i="44"/>
  <c r="C276" i="44"/>
  <c r="D276" i="44" s="1"/>
  <c r="B277" i="44"/>
  <c r="F276" i="44" l="1"/>
  <c r="E276" i="44"/>
  <c r="C277" i="44"/>
  <c r="D277" i="44" s="1"/>
  <c r="B278" i="44"/>
  <c r="E277" i="44" l="1"/>
  <c r="F277" i="44"/>
  <c r="C278" i="44"/>
  <c r="D278" i="44" s="1"/>
  <c r="B279" i="44"/>
  <c r="F278" i="44" l="1"/>
  <c r="E278" i="44"/>
  <c r="C279" i="44"/>
  <c r="D279" i="44" s="1"/>
  <c r="B280" i="44"/>
  <c r="E279" i="44" l="1"/>
  <c r="F279" i="44"/>
  <c r="B281" i="44"/>
  <c r="C280" i="44"/>
  <c r="D280" i="44" s="1"/>
  <c r="F280" i="44"/>
  <c r="E280" i="44" l="1"/>
  <c r="B282" i="44"/>
  <c r="C281" i="44"/>
  <c r="D281" i="44" s="1"/>
  <c r="E281" i="44"/>
  <c r="F281" i="44"/>
  <c r="C282" i="44" l="1"/>
  <c r="D282" i="44" s="1"/>
  <c r="B283" i="44"/>
  <c r="F282" i="44"/>
  <c r="E282" i="44"/>
  <c r="C283" i="44" l="1"/>
  <c r="D283" i="44" s="1"/>
  <c r="B284" i="44"/>
  <c r="E283" i="44"/>
  <c r="F283" i="44"/>
  <c r="B285" i="44" l="1"/>
  <c r="C284" i="44"/>
  <c r="E284" i="44" s="1"/>
  <c r="F284" i="44" l="1"/>
  <c r="D284" i="44"/>
  <c r="C285" i="44"/>
  <c r="D285" i="44" s="1"/>
  <c r="B286" i="44"/>
  <c r="F285" i="44" l="1"/>
  <c r="E285" i="44"/>
  <c r="B287" i="44"/>
  <c r="C286" i="44"/>
  <c r="D286" i="44" s="1"/>
  <c r="F286" i="44" l="1"/>
  <c r="E286" i="44"/>
  <c r="B288" i="44"/>
  <c r="C287" i="44"/>
  <c r="D287" i="44" s="1"/>
  <c r="E287" i="44" l="1"/>
  <c r="F287" i="44"/>
  <c r="C288" i="44"/>
  <c r="D288" i="44" s="1"/>
  <c r="B289" i="44"/>
  <c r="E288" i="44" l="1"/>
  <c r="F288" i="44"/>
  <c r="C289" i="44"/>
  <c r="D289" i="44" s="1"/>
  <c r="B290" i="44"/>
  <c r="F289" i="44" l="1"/>
  <c r="E289" i="44"/>
  <c r="B291" i="44"/>
  <c r="C290" i="44"/>
  <c r="D290" i="44" s="1"/>
  <c r="E290" i="44" l="1"/>
  <c r="F290" i="44"/>
  <c r="C291" i="44"/>
  <c r="D291" i="44" s="1"/>
  <c r="B292" i="44"/>
  <c r="F291" i="44" l="1"/>
  <c r="E291" i="44"/>
  <c r="C292" i="44"/>
  <c r="D292" i="44" s="1"/>
  <c r="B293" i="44"/>
  <c r="E292" i="44" l="1"/>
  <c r="F292" i="44"/>
  <c r="C293" i="44"/>
  <c r="D293" i="44" s="1"/>
  <c r="B294" i="44"/>
  <c r="E293" i="44" l="1"/>
  <c r="F293" i="44"/>
  <c r="C294" i="44"/>
  <c r="D294" i="44" s="1"/>
  <c r="B295" i="44"/>
  <c r="E294" i="44" l="1"/>
  <c r="F294" i="44"/>
  <c r="C295" i="44"/>
  <c r="D295" i="44" s="1"/>
  <c r="B296" i="44"/>
  <c r="F295" i="44" l="1"/>
  <c r="E295" i="44"/>
  <c r="C296" i="44"/>
  <c r="D296" i="44" s="1"/>
  <c r="B297" i="44"/>
  <c r="F296" i="44" l="1"/>
  <c r="E296" i="44"/>
  <c r="B298" i="44"/>
  <c r="C297" i="44"/>
  <c r="D297" i="44" s="1"/>
  <c r="F297" i="44" l="1"/>
  <c r="E297" i="44"/>
  <c r="C298" i="44"/>
  <c r="D298" i="44" s="1"/>
  <c r="B299" i="44"/>
  <c r="E298" i="44" l="1"/>
  <c r="F298" i="44"/>
  <c r="C299" i="44"/>
  <c r="D299" i="44" s="1"/>
  <c r="B300" i="44"/>
  <c r="E299" i="44" l="1"/>
  <c r="F299" i="44"/>
  <c r="B301" i="44"/>
  <c r="C300" i="44"/>
  <c r="D300" i="44" s="1"/>
  <c r="F300" i="44" l="1"/>
  <c r="E300" i="44"/>
  <c r="C301" i="44"/>
  <c r="D301" i="44" s="1"/>
  <c r="B302" i="44"/>
  <c r="F301" i="44" l="1"/>
  <c r="E301" i="44"/>
  <c r="C302" i="44"/>
  <c r="D302" i="44" s="1"/>
  <c r="B303" i="44"/>
  <c r="F302" i="44" l="1"/>
  <c r="E302" i="44"/>
  <c r="B304" i="44"/>
  <c r="C303" i="44"/>
  <c r="D303" i="44" s="1"/>
  <c r="E303" i="44" l="1"/>
  <c r="F303" i="44"/>
  <c r="B305" i="44"/>
  <c r="C304" i="44"/>
  <c r="D304" i="44" s="1"/>
  <c r="F304" i="44" l="1"/>
  <c r="E304" i="44"/>
  <c r="C305" i="44"/>
  <c r="D305" i="44" s="1"/>
  <c r="B306" i="44"/>
  <c r="E305" i="44" l="1"/>
  <c r="F305" i="44"/>
  <c r="B307" i="44"/>
  <c r="C306" i="44"/>
  <c r="D306" i="44" s="1"/>
  <c r="F306" i="44" l="1"/>
  <c r="E306" i="44"/>
  <c r="C307" i="44"/>
  <c r="D307" i="44" s="1"/>
  <c r="B308" i="44"/>
  <c r="E307" i="44" l="1"/>
  <c r="F307" i="44"/>
  <c r="C308" i="44"/>
  <c r="D308" i="44" s="1"/>
  <c r="B309" i="44"/>
  <c r="E308" i="44" l="1"/>
  <c r="F308" i="44"/>
  <c r="C309" i="44"/>
  <c r="D309" i="44" s="1"/>
  <c r="B310" i="44"/>
  <c r="E309" i="44"/>
  <c r="F309" i="44" l="1"/>
  <c r="C310" i="44"/>
  <c r="D310" i="44" s="1"/>
  <c r="B311" i="44"/>
  <c r="E310" i="44" l="1"/>
  <c r="F310" i="44"/>
  <c r="C311" i="44"/>
  <c r="D311" i="44" s="1"/>
  <c r="B312" i="44"/>
  <c r="F311" i="44" l="1"/>
  <c r="E311" i="44"/>
  <c r="C312" i="44"/>
  <c r="D312" i="44" s="1"/>
  <c r="B313" i="44"/>
  <c r="F312" i="44"/>
  <c r="E312" i="44" l="1"/>
  <c r="B314" i="44"/>
  <c r="C313" i="44"/>
  <c r="D313" i="44" s="1"/>
  <c r="F313" i="44" l="1"/>
  <c r="E313" i="44"/>
  <c r="C314" i="44"/>
  <c r="D314" i="44" s="1"/>
  <c r="B315" i="44"/>
  <c r="F314" i="44" l="1"/>
  <c r="E314" i="44"/>
  <c r="C315" i="44"/>
  <c r="D315" i="44" s="1"/>
  <c r="B316" i="44"/>
  <c r="E315" i="44" l="1"/>
  <c r="F315" i="44"/>
  <c r="B317" i="44"/>
  <c r="C316" i="44"/>
  <c r="E316" i="44" l="1"/>
  <c r="D316" i="44"/>
  <c r="F316" i="44"/>
  <c r="C317" i="44"/>
  <c r="B318" i="44"/>
  <c r="F317" i="44" l="1"/>
  <c r="D317" i="44"/>
  <c r="E317" i="44"/>
  <c r="C318" i="44"/>
  <c r="B319" i="44"/>
  <c r="E318" i="44" l="1"/>
  <c r="D318" i="44"/>
  <c r="F318" i="44"/>
  <c r="C319" i="44"/>
  <c r="D319" i="44" s="1"/>
  <c r="E319" i="44" l="1"/>
  <c r="F319" i="44"/>
</calcChain>
</file>

<file path=xl/sharedStrings.xml><?xml version="1.0" encoding="utf-8"?>
<sst xmlns="http://schemas.openxmlformats.org/spreadsheetml/2006/main" count="603" uniqueCount="149">
  <si>
    <t>Year</t>
  </si>
  <si>
    <t>Month</t>
  </si>
  <si>
    <t>Day</t>
  </si>
  <si>
    <t>x</t>
  </si>
  <si>
    <t>Hour</t>
  </si>
  <si>
    <t>JDN</t>
  </si>
  <si>
    <t>Months</t>
  </si>
  <si>
    <t># days</t>
  </si>
  <si>
    <t>May</t>
  </si>
  <si>
    <t>Angle</t>
  </si>
  <si>
    <t>Sun</t>
  </si>
  <si>
    <t>r</t>
  </si>
  <si>
    <t>August</t>
  </si>
  <si>
    <t>fraction</t>
  </si>
  <si>
    <t>January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</si>
  <si>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</si>
  <si>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</si>
  <si>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</si>
  <si>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</si>
  <si>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</si>
  <si>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</si>
  <si>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</si>
  <si>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</si>
  <si>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</si>
  <si>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Inputs</t>
  </si>
  <si>
    <t>First quarter</t>
  </si>
  <si>
    <t>Waxing crescent</t>
  </si>
  <si>
    <t>Waxing gibbous</t>
  </si>
  <si>
    <t>Last quarter</t>
  </si>
  <si>
    <t>Full moon</t>
  </si>
  <si>
    <t>New moon</t>
  </si>
  <si>
    <t>points:</t>
  </si>
  <si>
    <t>dgr</t>
  </si>
  <si>
    <t>step:</t>
  </si>
  <si>
    <t>cos</t>
  </si>
  <si>
    <t>minor semi axis</t>
  </si>
  <si>
    <t>major semi axis</t>
  </si>
  <si>
    <t>ellipse</t>
  </si>
  <si>
    <t>black bottom</t>
  </si>
  <si>
    <t>transparent</t>
  </si>
  <si>
    <t>black top</t>
  </si>
  <si>
    <t>Waning gibbous</t>
  </si>
  <si>
    <t>Waning crescent</t>
  </si>
  <si>
    <t>e</t>
  </si>
  <si>
    <t>f</t>
  </si>
  <si>
    <t>u</t>
  </si>
  <si>
    <t>T</t>
  </si>
  <si>
    <t>M</t>
  </si>
  <si>
    <t>Date</t>
  </si>
  <si>
    <t>Time</t>
  </si>
  <si>
    <t>A</t>
  </si>
  <si>
    <t>Total</t>
  </si>
  <si>
    <t>B</t>
  </si>
  <si>
    <t>C</t>
  </si>
  <si>
    <t>E</t>
  </si>
  <si>
    <t>F</t>
  </si>
  <si>
    <t>Y'</t>
  </si>
  <si>
    <t>M'</t>
  </si>
  <si>
    <t>D</t>
  </si>
  <si>
    <t>j</t>
  </si>
  <si>
    <t>v</t>
  </si>
  <si>
    <t>p</t>
  </si>
  <si>
    <t>w</t>
  </si>
  <si>
    <t>m</t>
  </si>
  <si>
    <t>n</t>
  </si>
  <si>
    <t>g</t>
  </si>
  <si>
    <t>A1</t>
  </si>
  <si>
    <t>A7</t>
  </si>
  <si>
    <t>A3</t>
  </si>
  <si>
    <t>A2</t>
  </si>
  <si>
    <t>A5</t>
  </si>
  <si>
    <t>Nonetheless, this spreadsheet has been carefully reviewed, and calculation results have been compared with other applications.</t>
  </si>
  <si>
    <t>I'm solely responsible for the input and express no warranty.  Use at your own risk.</t>
  </si>
  <si>
    <t>All Rights Reserved:  © Astronomy Morsels.</t>
  </si>
  <si>
    <t>Email</t>
  </si>
  <si>
    <t xml:space="preserve">In this spreadsheet, the 4 major moon phases (New Moon, First Quarter, Full Moon and Last Quarter) are calculated from a given reference date. The result is displayed in a 2-months calendar. </t>
  </si>
  <si>
    <t>(days)</t>
  </si>
  <si>
    <t>New Moon</t>
  </si>
  <si>
    <t>Third/Last Quarter</t>
  </si>
  <si>
    <t>Day nr.</t>
  </si>
  <si>
    <t>Full Moon</t>
  </si>
  <si>
    <t>Leap year?</t>
  </si>
  <si>
    <t>First Quarter</t>
  </si>
  <si>
    <t>JDN (UT)</t>
  </si>
  <si>
    <t>JDN (12:00)</t>
  </si>
  <si>
    <t>Sat</t>
  </si>
  <si>
    <t>Fri</t>
  </si>
  <si>
    <t>Thu</t>
  </si>
  <si>
    <t>Wed</t>
  </si>
  <si>
    <t>Tue</t>
  </si>
  <si>
    <t>Mon</t>
  </si>
  <si>
    <t>Weekday</t>
  </si>
  <si>
    <t>Description</t>
  </si>
  <si>
    <t>UT</t>
  </si>
  <si>
    <t>Last Quarter</t>
  </si>
  <si>
    <t>Next Months</t>
  </si>
  <si>
    <t>Number</t>
  </si>
  <si>
    <t>Day of Week</t>
  </si>
  <si>
    <t>Month Selected</t>
  </si>
  <si>
    <t>Days</t>
  </si>
  <si>
    <t>JDE'</t>
  </si>
  <si>
    <t>Time of Moon Phase</t>
  </si>
  <si>
    <t>A1-A14</t>
  </si>
  <si>
    <t>W</t>
  </si>
  <si>
    <t>Correction</t>
  </si>
  <si>
    <t>k</t>
  </si>
  <si>
    <t>Final results</t>
  </si>
  <si>
    <t>Additional Correction for First/Last Quarter</t>
  </si>
  <si>
    <t>Ω</t>
  </si>
  <si>
    <t>sin</t>
  </si>
  <si>
    <t>Correction First/Last Quarter</t>
  </si>
  <si>
    <t>Correction Full Moon</t>
  </si>
  <si>
    <t>Correction New Moon</t>
  </si>
  <si>
    <t>A14</t>
  </si>
  <si>
    <t>A13</t>
  </si>
  <si>
    <t>A12</t>
  </si>
  <si>
    <t>A11</t>
  </si>
  <si>
    <t>A10</t>
  </si>
  <si>
    <t>A9</t>
  </si>
  <si>
    <t>A8</t>
  </si>
  <si>
    <t>A6</t>
  </si>
  <si>
    <t>A4</t>
  </si>
  <si>
    <t>sin(Ax)</t>
  </si>
  <si>
    <t>Correction for all phases</t>
  </si>
  <si>
    <t>M' (moon)</t>
  </si>
  <si>
    <t>M (sun)</t>
  </si>
  <si>
    <t>JDE</t>
  </si>
  <si>
    <t>(corrected for moon phase)</t>
  </si>
  <si>
    <t>Year'</t>
  </si>
  <si>
    <t>Reference: Meeus, Astronomical Algorithms, pp. 319-324.</t>
  </si>
  <si>
    <t>Calculate Fraction day/year</t>
  </si>
  <si>
    <t xml:space="preserve">s </t>
  </si>
  <si>
    <t xml:space="preserve">h  </t>
  </si>
  <si>
    <t>Second</t>
  </si>
  <si>
    <t>Minute</t>
  </si>
  <si>
    <t xml:space="preserve">Day </t>
  </si>
  <si>
    <t>Start of month</t>
  </si>
  <si>
    <t>Start of Month</t>
  </si>
  <si>
    <t>Input Date</t>
  </si>
  <si>
    <t>Current moon phase at input date: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</si>
  <si>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</si>
  <si>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t>DtoR</t>
  </si>
  <si>
    <t>i</t>
  </si>
  <si>
    <t>Days since Epoch</t>
  </si>
  <si>
    <t>angle</t>
  </si>
  <si>
    <t>phase</t>
  </si>
  <si>
    <t>V1.1</t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</si>
  <si>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25th May, 2024.</t>
    </r>
  </si>
  <si>
    <r>
      <t>JDN'</t>
    </r>
    <r>
      <rPr>
        <b/>
        <vertAlign val="subscript"/>
        <sz val="12"/>
        <color indexed="8"/>
        <rFont val="Calibri"/>
        <family val="2"/>
        <scheme val="minor"/>
      </rPr>
      <t>corrected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</si>
</sst>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0"/>
    <numFmt numFmtId="165" formatCode="0.00000"/>
    <numFmt numFmtId="166" formatCode="[$]hh:mm;@"/>
    <numFmt numFmtId="167" formatCode="mm/dd/yy;@"/>
    <numFmt numFmtId="168" formatCode="dd/mm/yy;@"/>
    <numFmt numFmtId="169" formatCode="mmmm\ yyyy"/>
    <numFmt numFmtId="170" formatCode="0.0000000"/>
    <numFmt numFmtId="171" formatCode="#,##0.000000"/>
    <numFmt numFmtId="172" formatCode="[$]dd/mm/yyyy;@" x16r2:formatCode16="[$-en-CH,1]dd/mm/yyyy;@"/>
  </numFmts>
  <fonts count="31" x14ac:knownFonts="1"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0"/>
      <name val="Calibri"/>
      <family val="2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4"/>
      <color theme="1"/>
      <name val="Calibri"/>
      <family val="2"/>
      <scheme val="minor"/>
    </font>
    <font>
      <b/>
      <vertAlign val="subscript"/>
      <sz val="12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2" fillId="0" borderId="0" applyNumberFormat="0" applyFill="0" applyBorder="0" applyAlignment="0" applyProtection="0"/>
  </cellStyleXfs>
  <cellXfs count="212">
    <xf numFmtId="0" fontId="0" fillId="0" borderId="0" xfId="0"/>
    <xf numFmtId="0" fontId="9" fillId="8" borderId="0" xfId="7" applyFill="1"/>
    <xf numFmtId="0" fontId="9" fillId="2" borderId="0" xfId="7" applyFill="1"/>
    <xf numFmtId="0" fontId="9" fillId="8" borderId="0" xfId="7" applyFill="1" applyAlignment="1">
      <alignment horizontal="center"/>
    </xf>
    <xf numFmtId="167" fontId="9" fillId="8" borderId="0" xfId="7" applyNumberFormat="1" applyFill="1" applyAlignment="1">
      <alignment horizontal="center"/>
    </xf>
    <xf numFmtId="0" fontId="9" fillId="8" borderId="0" xfId="7" applyFill="1" applyProtection="1">
      <protection hidden="1"/>
    </xf>
    <xf numFmtId="1" fontId="10" fillId="8" borderId="0" xfId="7" applyNumberFormat="1" applyFont="1" applyFill="1" applyAlignment="1">
      <alignment horizontal="center" vertical="center"/>
    </xf>
    <xf numFmtId="0" fontId="11" fillId="8" borderId="0" xfId="7" applyFont="1" applyFill="1"/>
    <xf numFmtId="0" fontId="12" fillId="8" borderId="0" xfId="7" applyFont="1" applyFill="1"/>
    <xf numFmtId="1" fontId="13" fillId="9" borderId="9" xfId="7" applyNumberFormat="1" applyFont="1" applyFill="1" applyBorder="1" applyAlignment="1">
      <alignment horizontal="center" vertical="center"/>
    </xf>
    <xf numFmtId="0" fontId="14" fillId="9" borderId="7" xfId="7" applyFont="1" applyFill="1" applyBorder="1" applyAlignment="1">
      <alignment horizontal="center" vertical="center"/>
    </xf>
    <xf numFmtId="0" fontId="13" fillId="9" borderId="6" xfId="7" applyFont="1" applyFill="1" applyBorder="1" applyAlignment="1">
      <alignment horizontal="center" vertical="center"/>
    </xf>
    <xf numFmtId="0" fontId="14" fillId="9" borderId="5" xfId="7" applyFont="1" applyFill="1" applyBorder="1" applyAlignment="1">
      <alignment horizontal="center" vertical="center"/>
    </xf>
    <xf numFmtId="4" fontId="13" fillId="9" borderId="6" xfId="7" applyNumberFormat="1" applyFont="1" applyFill="1" applyBorder="1" applyAlignment="1">
      <alignment horizontal="center" vertical="center"/>
    </xf>
    <xf numFmtId="166" fontId="13" fillId="9" borderId="6" xfId="7" applyNumberFormat="1" applyFont="1" applyFill="1" applyBorder="1" applyAlignment="1">
      <alignment horizontal="center" vertical="center"/>
    </xf>
    <xf numFmtId="14" fontId="13" fillId="9" borderId="6" xfId="7" applyNumberFormat="1" applyFont="1" applyFill="1" applyBorder="1" applyAlignment="1">
      <alignment horizontal="center" vertical="center"/>
    </xf>
    <xf numFmtId="0" fontId="16" fillId="8" borderId="0" xfId="7" applyFont="1" applyFill="1" applyAlignment="1">
      <alignment horizontal="center"/>
    </xf>
    <xf numFmtId="0" fontId="17" fillId="8" borderId="0" xfId="7" applyFont="1" applyFill="1" applyAlignment="1">
      <alignment horizontal="center"/>
    </xf>
    <xf numFmtId="0" fontId="15" fillId="8" borderId="0" xfId="7" applyFont="1" applyFill="1"/>
    <xf numFmtId="0" fontId="19" fillId="8" borderId="0" xfId="7" applyFont="1" applyFill="1"/>
    <xf numFmtId="0" fontId="14" fillId="9" borderId="5" xfId="7" applyFont="1" applyFill="1" applyBorder="1"/>
    <xf numFmtId="0" fontId="20" fillId="9" borderId="5" xfId="7" applyFont="1" applyFill="1" applyBorder="1"/>
    <xf numFmtId="0" fontId="20" fillId="9" borderId="1" xfId="7" applyFont="1" applyFill="1" applyBorder="1"/>
    <xf numFmtId="0" fontId="14" fillId="9" borderId="7" xfId="7" applyFont="1" applyFill="1" applyBorder="1"/>
    <xf numFmtId="0" fontId="1" fillId="3" borderId="8" xfId="0" applyFont="1" applyFill="1" applyBorder="1"/>
    <xf numFmtId="0" fontId="9" fillId="3" borderId="9" xfId="7" applyFill="1" applyBorder="1" applyAlignment="1">
      <alignment horizontal="center"/>
    </xf>
    <xf numFmtId="0" fontId="14" fillId="9" borderId="1" xfId="7" applyFont="1" applyFill="1" applyBorder="1"/>
    <xf numFmtId="0" fontId="14" fillId="9" borderId="2" xfId="7" applyFont="1" applyFill="1" applyBorder="1" applyAlignment="1">
      <alignment horizontal="right"/>
    </xf>
    <xf numFmtId="0" fontId="8" fillId="8" borderId="0" xfId="7" applyFont="1" applyFill="1"/>
    <xf numFmtId="0" fontId="8" fillId="8" borderId="0" xfId="7" applyFont="1" applyFill="1" applyProtection="1">
      <protection hidden="1"/>
    </xf>
    <xf numFmtId="0" fontId="8" fillId="0" borderId="1" xfId="7" applyFont="1" applyBorder="1" applyProtection="1">
      <protection hidden="1"/>
    </xf>
    <xf numFmtId="0" fontId="8" fillId="0" borderId="3" xfId="7" applyFont="1" applyBorder="1" applyProtection="1">
      <protection hidden="1"/>
    </xf>
    <xf numFmtId="0" fontId="8" fillId="0" borderId="2" xfId="7" applyFont="1" applyBorder="1" applyProtection="1">
      <protection hidden="1"/>
    </xf>
    <xf numFmtId="0" fontId="8" fillId="0" borderId="5" xfId="7" applyFont="1" applyBorder="1" applyProtection="1">
      <protection hidden="1"/>
    </xf>
    <xf numFmtId="0" fontId="8" fillId="0" borderId="0" xfId="7" applyFont="1" applyProtection="1">
      <protection hidden="1"/>
    </xf>
    <xf numFmtId="0" fontId="8" fillId="0" borderId="6" xfId="7" applyFont="1" applyBorder="1" applyProtection="1">
      <protection hidden="1"/>
    </xf>
    <xf numFmtId="0" fontId="8" fillId="0" borderId="7" xfId="7" applyFont="1" applyBorder="1" applyProtection="1">
      <protection hidden="1"/>
    </xf>
    <xf numFmtId="0" fontId="8" fillId="0" borderId="8" xfId="7" applyFont="1" applyBorder="1" applyProtection="1">
      <protection hidden="1"/>
    </xf>
    <xf numFmtId="0" fontId="8" fillId="0" borderId="9" xfId="7" applyFont="1" applyBorder="1" applyProtection="1">
      <protection hidden="1"/>
    </xf>
    <xf numFmtId="0" fontId="21" fillId="4" borderId="14" xfId="7" applyFont="1" applyFill="1" applyBorder="1" applyAlignment="1">
      <alignment horizontal="center"/>
    </xf>
    <xf numFmtId="0" fontId="8" fillId="5" borderId="14" xfId="7" applyFont="1" applyFill="1" applyBorder="1" applyAlignment="1">
      <alignment horizontal="center"/>
    </xf>
    <xf numFmtId="0" fontId="8" fillId="6" borderId="14" xfId="7" applyFont="1" applyFill="1" applyBorder="1" applyAlignment="1">
      <alignment horizontal="center"/>
    </xf>
    <xf numFmtId="0" fontId="8" fillId="7" borderId="14" xfId="7" applyFont="1" applyFill="1" applyBorder="1" applyAlignment="1">
      <alignment horizontal="center"/>
    </xf>
    <xf numFmtId="167" fontId="8" fillId="8" borderId="0" xfId="7" applyNumberFormat="1" applyFont="1" applyFill="1" applyAlignment="1">
      <alignment horizontal="center"/>
    </xf>
    <xf numFmtId="0" fontId="8" fillId="0" borderId="10" xfId="7" applyFont="1" applyBorder="1" applyAlignment="1">
      <alignment horizontal="center"/>
    </xf>
    <xf numFmtId="0" fontId="8" fillId="4" borderId="5" xfId="7" applyFont="1" applyFill="1" applyBorder="1" applyAlignment="1" applyProtection="1">
      <alignment horizontal="center"/>
      <protection hidden="1"/>
    </xf>
    <xf numFmtId="0" fontId="8" fillId="4" borderId="0" xfId="7" applyFont="1" applyFill="1" applyAlignment="1" applyProtection="1">
      <alignment horizontal="center"/>
      <protection hidden="1"/>
    </xf>
    <xf numFmtId="0" fontId="8" fillId="4" borderId="6" xfId="7" applyFont="1" applyFill="1" applyBorder="1" applyAlignment="1" applyProtection="1">
      <alignment horizontal="center"/>
      <protection hidden="1"/>
    </xf>
    <xf numFmtId="0" fontId="23" fillId="2" borderId="1" xfId="7" applyFont="1" applyFill="1" applyBorder="1" applyAlignment="1">
      <alignment horizontal="left"/>
    </xf>
    <xf numFmtId="0" fontId="23" fillId="2" borderId="3" xfId="6" applyFont="1" applyFill="1" applyBorder="1" applyAlignment="1">
      <alignment horizontal="center"/>
    </xf>
    <xf numFmtId="0" fontId="23" fillId="2" borderId="3" xfId="6" applyFont="1" applyFill="1" applyBorder="1"/>
    <xf numFmtId="0" fontId="25" fillId="2" borderId="2" xfId="8" applyFont="1" applyFill="1" applyBorder="1" applyAlignment="1">
      <alignment horizontal="center"/>
    </xf>
    <xf numFmtId="0" fontId="26" fillId="2" borderId="5" xfId="8" applyFont="1" applyFill="1" applyBorder="1" applyAlignment="1">
      <alignment horizontal="left"/>
    </xf>
    <xf numFmtId="0" fontId="23" fillId="2" borderId="0" xfId="6" applyFont="1" applyFill="1" applyAlignment="1">
      <alignment horizontal="center"/>
    </xf>
    <xf numFmtId="0" fontId="23" fillId="2" borderId="0" xfId="6" applyFont="1" applyFill="1"/>
    <xf numFmtId="0" fontId="23" fillId="2" borderId="6" xfId="6" applyFont="1" applyFill="1" applyBorder="1" applyAlignment="1">
      <alignment horizontal="center"/>
    </xf>
    <xf numFmtId="0" fontId="23" fillId="2" borderId="7" xfId="8" applyFont="1" applyFill="1" applyBorder="1" applyAlignment="1">
      <alignment horizontal="left"/>
    </xf>
    <xf numFmtId="0" fontId="23" fillId="2" borderId="8" xfId="8" applyFont="1" applyFill="1" applyBorder="1" applyAlignment="1">
      <alignment horizontal="left"/>
    </xf>
    <xf numFmtId="0" fontId="23" fillId="2" borderId="8" xfId="6" applyFont="1" applyFill="1" applyBorder="1"/>
    <xf numFmtId="0" fontId="24" fillId="2" borderId="9" xfId="6" applyFont="1" applyFill="1" applyBorder="1" applyAlignment="1">
      <alignment horizontal="center"/>
    </xf>
    <xf numFmtId="168" fontId="8" fillId="12" borderId="14" xfId="7" applyNumberFormat="1" applyFont="1" applyFill="1" applyBorder="1" applyAlignment="1">
      <alignment horizontal="center"/>
    </xf>
    <xf numFmtId="166" fontId="8" fillId="12" borderId="14" xfId="7" applyNumberFormat="1" applyFont="1" applyFill="1" applyBorder="1" applyAlignment="1">
      <alignment horizontal="center"/>
    </xf>
    <xf numFmtId="4" fontId="21" fillId="12" borderId="4" xfId="7" applyNumberFormat="1" applyFont="1" applyFill="1" applyBorder="1" applyAlignment="1">
      <alignment horizontal="center"/>
    </xf>
    <xf numFmtId="0" fontId="8" fillId="0" borderId="0" xfId="7" applyFont="1"/>
    <xf numFmtId="0" fontId="21" fillId="6" borderId="0" xfId="7" applyFont="1" applyFill="1"/>
    <xf numFmtId="0" fontId="21" fillId="0" borderId="0" xfId="7" applyFont="1"/>
    <xf numFmtId="0" fontId="8" fillId="9" borderId="11" xfId="7" applyFont="1" applyFill="1" applyBorder="1"/>
    <xf numFmtId="170" fontId="8" fillId="9" borderId="12" xfId="7" applyNumberFormat="1" applyFont="1" applyFill="1" applyBorder="1"/>
    <xf numFmtId="0" fontId="8" fillId="9" borderId="1" xfId="7" applyFont="1" applyFill="1" applyBorder="1"/>
    <xf numFmtId="0" fontId="8" fillId="9" borderId="2" xfId="7" applyFont="1" applyFill="1" applyBorder="1"/>
    <xf numFmtId="0" fontId="8" fillId="9" borderId="5" xfId="7" applyFont="1" applyFill="1" applyBorder="1"/>
    <xf numFmtId="0" fontId="8" fillId="9" borderId="6" xfId="7" applyFont="1" applyFill="1" applyBorder="1" applyAlignment="1">
      <alignment horizontal="right"/>
    </xf>
    <xf numFmtId="1" fontId="8" fillId="9" borderId="6" xfId="7" applyNumberFormat="1" applyFont="1" applyFill="1" applyBorder="1"/>
    <xf numFmtId="0" fontId="8" fillId="9" borderId="7" xfId="7" applyFont="1" applyFill="1" applyBorder="1"/>
    <xf numFmtId="170" fontId="8" fillId="9" borderId="9" xfId="7" applyNumberFormat="1" applyFont="1" applyFill="1" applyBorder="1"/>
    <xf numFmtId="170" fontId="8" fillId="9" borderId="2" xfId="7" applyNumberFormat="1" applyFont="1" applyFill="1" applyBorder="1"/>
    <xf numFmtId="170" fontId="8" fillId="9" borderId="6" xfId="7" applyNumberFormat="1" applyFont="1" applyFill="1" applyBorder="1"/>
    <xf numFmtId="170" fontId="8" fillId="9" borderId="3" xfId="7" applyNumberFormat="1" applyFont="1" applyFill="1" applyBorder="1"/>
    <xf numFmtId="0" fontId="8" fillId="0" borderId="1" xfId="7" applyFont="1" applyBorder="1"/>
    <xf numFmtId="170" fontId="8" fillId="0" borderId="3" xfId="7" applyNumberFormat="1" applyFont="1" applyBorder="1"/>
    <xf numFmtId="170" fontId="8" fillId="0" borderId="2" xfId="7" applyNumberFormat="1" applyFont="1" applyBorder="1"/>
    <xf numFmtId="170" fontId="8" fillId="9" borderId="0" xfId="7" applyNumberFormat="1" applyFont="1" applyFill="1"/>
    <xf numFmtId="0" fontId="8" fillId="0" borderId="5" xfId="7" applyFont="1" applyBorder="1"/>
    <xf numFmtId="170" fontId="8" fillId="0" borderId="0" xfId="7" applyNumberFormat="1" applyFont="1"/>
    <xf numFmtId="170" fontId="8" fillId="0" borderId="6" xfId="7" applyNumberFormat="1" applyFont="1" applyBorder="1"/>
    <xf numFmtId="170" fontId="8" fillId="9" borderId="8" xfId="7" applyNumberFormat="1" applyFont="1" applyFill="1" applyBorder="1"/>
    <xf numFmtId="0" fontId="8" fillId="0" borderId="7" xfId="7" applyFont="1" applyBorder="1"/>
    <xf numFmtId="170" fontId="8" fillId="0" borderId="8" xfId="7" applyNumberFormat="1" applyFont="1" applyBorder="1"/>
    <xf numFmtId="170" fontId="8" fillId="0" borderId="9" xfId="7" applyNumberFormat="1" applyFont="1" applyBorder="1"/>
    <xf numFmtId="0" fontId="21" fillId="9" borderId="11" xfId="7" applyFont="1" applyFill="1" applyBorder="1"/>
    <xf numFmtId="0" fontId="21" fillId="9" borderId="15" xfId="7" applyFont="1" applyFill="1" applyBorder="1"/>
    <xf numFmtId="0" fontId="21" fillId="9" borderId="12" xfId="7" applyFont="1" applyFill="1" applyBorder="1"/>
    <xf numFmtId="0" fontId="8" fillId="9" borderId="3" xfId="7" applyFont="1" applyFill="1" applyBorder="1"/>
    <xf numFmtId="0" fontId="8" fillId="9" borderId="3" xfId="7" applyFont="1" applyFill="1" applyBorder="1" applyAlignment="1">
      <alignment horizontal="right"/>
    </xf>
    <xf numFmtId="170" fontId="8" fillId="9" borderId="5" xfId="7" applyNumberFormat="1" applyFont="1" applyFill="1" applyBorder="1"/>
    <xf numFmtId="170" fontId="8" fillId="9" borderId="0" xfId="7" applyNumberFormat="1" applyFont="1" applyFill="1" applyAlignment="1">
      <alignment horizontal="right"/>
    </xf>
    <xf numFmtId="170" fontId="8" fillId="9" borderId="7" xfId="7" applyNumberFormat="1" applyFont="1" applyFill="1" applyBorder="1"/>
    <xf numFmtId="170" fontId="8" fillId="9" borderId="8" xfId="7" applyNumberFormat="1" applyFont="1" applyFill="1" applyBorder="1" applyAlignment="1">
      <alignment horizontal="right"/>
    </xf>
    <xf numFmtId="170" fontId="21" fillId="9" borderId="14" xfId="7" applyNumberFormat="1" applyFont="1" applyFill="1" applyBorder="1"/>
    <xf numFmtId="170" fontId="21" fillId="0" borderId="14" xfId="7" applyNumberFormat="1" applyFont="1" applyBorder="1"/>
    <xf numFmtId="0" fontId="8" fillId="9" borderId="4" xfId="7" applyFont="1" applyFill="1" applyBorder="1" applyAlignment="1">
      <alignment horizontal="right"/>
    </xf>
    <xf numFmtId="0" fontId="8" fillId="9" borderId="15" xfId="7" applyFont="1" applyFill="1" applyBorder="1" applyAlignment="1">
      <alignment horizontal="right"/>
    </xf>
    <xf numFmtId="0" fontId="8" fillId="9" borderId="12" xfId="7" applyFont="1" applyFill="1" applyBorder="1" applyAlignment="1">
      <alignment horizontal="right"/>
    </xf>
    <xf numFmtId="0" fontId="8" fillId="9" borderId="14" xfId="7" applyFont="1" applyFill="1" applyBorder="1" applyAlignment="1">
      <alignment horizontal="right"/>
    </xf>
    <xf numFmtId="170" fontId="8" fillId="9" borderId="1" xfId="7" applyNumberFormat="1" applyFont="1" applyFill="1" applyBorder="1"/>
    <xf numFmtId="170" fontId="8" fillId="9" borderId="4" xfId="7" applyNumberFormat="1" applyFont="1" applyFill="1" applyBorder="1"/>
    <xf numFmtId="0" fontId="8" fillId="9" borderId="0" xfId="7" applyFont="1" applyFill="1"/>
    <xf numFmtId="0" fontId="8" fillId="9" borderId="6" xfId="7" applyFont="1" applyFill="1" applyBorder="1"/>
    <xf numFmtId="170" fontId="8" fillId="9" borderId="13" xfId="7" applyNumberFormat="1" applyFont="1" applyFill="1" applyBorder="1"/>
    <xf numFmtId="170" fontId="8" fillId="9" borderId="10" xfId="7" applyNumberFormat="1" applyFont="1" applyFill="1" applyBorder="1"/>
    <xf numFmtId="0" fontId="8" fillId="9" borderId="8" xfId="7" applyFont="1" applyFill="1" applyBorder="1"/>
    <xf numFmtId="0" fontId="8" fillId="9" borderId="9" xfId="7" applyFont="1" applyFill="1" applyBorder="1"/>
    <xf numFmtId="0" fontId="8" fillId="0" borderId="0" xfId="7" applyFont="1" applyAlignment="1">
      <alignment horizontal="center"/>
    </xf>
    <xf numFmtId="0" fontId="21" fillId="9" borderId="14" xfId="7" applyFont="1" applyFill="1" applyBorder="1"/>
    <xf numFmtId="0" fontId="8" fillId="9" borderId="1" xfId="7" applyFont="1" applyFill="1" applyBorder="1" applyAlignment="1">
      <alignment horizontal="right"/>
    </xf>
    <xf numFmtId="0" fontId="8" fillId="9" borderId="2" xfId="7" applyFont="1" applyFill="1" applyBorder="1" applyAlignment="1">
      <alignment horizontal="right"/>
    </xf>
    <xf numFmtId="165" fontId="21" fillId="9" borderId="12" xfId="7" applyNumberFormat="1" applyFont="1" applyFill="1" applyBorder="1"/>
    <xf numFmtId="0" fontId="8" fillId="2" borderId="0" xfId="6" applyFill="1"/>
    <xf numFmtId="165" fontId="14" fillId="9" borderId="2" xfId="7" applyNumberFormat="1" applyFont="1" applyFill="1" applyBorder="1"/>
    <xf numFmtId="165" fontId="14" fillId="9" borderId="6" xfId="7" applyNumberFormat="1" applyFont="1" applyFill="1" applyBorder="1"/>
    <xf numFmtId="165" fontId="14" fillId="9" borderId="9" xfId="7" applyNumberFormat="1" applyFont="1" applyFill="1" applyBorder="1"/>
    <xf numFmtId="165" fontId="14" fillId="9" borderId="9" xfId="7" applyNumberFormat="1" applyFont="1" applyFill="1" applyBorder="1" applyAlignment="1">
      <alignment horizontal="right"/>
    </xf>
    <xf numFmtId="4" fontId="9" fillId="8" borderId="0" xfId="7" applyNumberFormat="1" applyFill="1"/>
    <xf numFmtId="0" fontId="22" fillId="2" borderId="0" xfId="6" applyFont="1" applyFill="1" applyAlignment="1">
      <alignment horizontal="center" vertical="center" wrapText="1"/>
    </xf>
    <xf numFmtId="0" fontId="27" fillId="2" borderId="1" xfId="8" applyFont="1" applyFill="1" applyBorder="1" applyAlignment="1">
      <alignment horizontal="center"/>
    </xf>
    <xf numFmtId="0" fontId="27" fillId="2" borderId="3" xfId="8" applyFont="1" applyFill="1" applyBorder="1" applyAlignment="1">
      <alignment horizontal="center"/>
    </xf>
    <xf numFmtId="0" fontId="27" fillId="2" borderId="18" xfId="8" applyFont="1" applyFill="1" applyBorder="1" applyAlignment="1">
      <alignment horizontal="center"/>
    </xf>
    <xf numFmtId="0" fontId="28" fillId="2" borderId="5" xfId="7" applyFont="1" applyFill="1" applyBorder="1" applyAlignment="1">
      <alignment horizontal="center"/>
    </xf>
    <xf numFmtId="0" fontId="28" fillId="2" borderId="0" xfId="7" applyFont="1" applyFill="1" applyAlignment="1">
      <alignment horizontal="center"/>
    </xf>
    <xf numFmtId="0" fontId="28" fillId="2" borderId="17" xfId="7" applyFont="1" applyFill="1" applyBorder="1" applyAlignment="1">
      <alignment horizontal="center"/>
    </xf>
    <xf numFmtId="0" fontId="28" fillId="2" borderId="7" xfId="7" applyFont="1" applyFill="1" applyBorder="1" applyAlignment="1">
      <alignment horizontal="center"/>
    </xf>
    <xf numFmtId="0" fontId="28" fillId="2" borderId="8" xfId="7" applyFont="1" applyFill="1" applyBorder="1" applyAlignment="1">
      <alignment horizontal="center"/>
    </xf>
    <xf numFmtId="0" fontId="28" fillId="2" borderId="16" xfId="7" applyFont="1" applyFill="1" applyBorder="1" applyAlignment="1">
      <alignment horizontal="center"/>
    </xf>
    <xf numFmtId="0" fontId="18" fillId="9" borderId="1" xfId="7" applyFont="1" applyFill="1" applyBorder="1" applyAlignment="1">
      <alignment horizontal="center" vertical="center"/>
    </xf>
    <xf numFmtId="0" fontId="18" fillId="9" borderId="2" xfId="7" applyFont="1" applyFill="1" applyBorder="1" applyAlignment="1">
      <alignment horizontal="center" vertical="center"/>
    </xf>
    <xf numFmtId="0" fontId="21" fillId="8" borderId="8" xfId="7" applyFont="1" applyFill="1" applyBorder="1" applyAlignment="1">
      <alignment horizontal="center"/>
    </xf>
    <xf numFmtId="0" fontId="8" fillId="11" borderId="14" xfId="7" applyFont="1" applyFill="1" applyBorder="1" applyAlignment="1">
      <alignment horizontal="center" vertical="center"/>
    </xf>
    <xf numFmtId="172" fontId="21" fillId="5" borderId="14" xfId="7" applyNumberFormat="1" applyFont="1" applyFill="1" applyBorder="1" applyAlignment="1" applyProtection="1">
      <alignment horizontal="center"/>
      <protection locked="0"/>
    </xf>
    <xf numFmtId="0" fontId="29" fillId="8" borderId="1" xfId="7" applyFont="1" applyFill="1" applyBorder="1" applyAlignment="1">
      <alignment horizontal="center"/>
    </xf>
    <xf numFmtId="0" fontId="29" fillId="8" borderId="3" xfId="7" applyFont="1" applyFill="1" applyBorder="1" applyAlignment="1">
      <alignment horizontal="center"/>
    </xf>
    <xf numFmtId="0" fontId="29" fillId="8" borderId="2" xfId="7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3" borderId="14" xfId="7" applyFont="1" applyFill="1" applyBorder="1" applyAlignment="1">
      <alignment horizontal="center"/>
    </xf>
    <xf numFmtId="0" fontId="8" fillId="4" borderId="21" xfId="7" applyFont="1" applyFill="1" applyBorder="1" applyAlignment="1" applyProtection="1">
      <alignment horizontal="center"/>
      <protection hidden="1"/>
    </xf>
    <xf numFmtId="0" fontId="8" fillId="4" borderId="20" xfId="7" applyFont="1" applyFill="1" applyBorder="1" applyAlignment="1" applyProtection="1">
      <alignment horizontal="center"/>
      <protection hidden="1"/>
    </xf>
    <xf numFmtId="0" fontId="8" fillId="4" borderId="19" xfId="7" applyFont="1" applyFill="1" applyBorder="1" applyAlignment="1" applyProtection="1">
      <alignment horizontal="center"/>
      <protection hidden="1"/>
    </xf>
    <xf numFmtId="169" fontId="8" fillId="4" borderId="21" xfId="7" applyNumberFormat="1" applyFont="1" applyFill="1" applyBorder="1" applyAlignment="1" applyProtection="1">
      <alignment horizontal="center"/>
      <protection hidden="1"/>
    </xf>
    <xf numFmtId="169" fontId="8" fillId="4" borderId="20" xfId="7" applyNumberFormat="1" applyFont="1" applyFill="1" applyBorder="1" applyAlignment="1" applyProtection="1">
      <alignment horizontal="center"/>
      <protection hidden="1"/>
    </xf>
    <xf numFmtId="169" fontId="8" fillId="4" borderId="19" xfId="7" applyNumberFormat="1" applyFont="1" applyFill="1" applyBorder="1" applyAlignment="1" applyProtection="1">
      <alignment horizontal="center"/>
      <protection hidden="1"/>
    </xf>
    <xf numFmtId="0" fontId="17" fillId="10" borderId="11" xfId="7" applyFont="1" applyFill="1" applyBorder="1" applyAlignment="1">
      <alignment horizontal="center"/>
    </xf>
    <xf numFmtId="0" fontId="17" fillId="10" borderId="15" xfId="7" applyFont="1" applyFill="1" applyBorder="1" applyAlignment="1">
      <alignment horizontal="center"/>
    </xf>
    <xf numFmtId="0" fontId="17" fillId="10" borderId="12" xfId="7" applyFont="1" applyFill="1" applyBorder="1" applyAlignment="1">
      <alignment horizontal="center"/>
    </xf>
    <xf numFmtId="0" fontId="16" fillId="8" borderId="0" xfId="7" applyFont="1" applyFill="1" applyAlignment="1">
      <alignment horizontal="center" vertical="center"/>
    </xf>
    <xf numFmtId="0" fontId="8" fillId="3" borderId="14" xfId="7" applyFont="1" applyFill="1" applyBorder="1" applyAlignment="1">
      <alignment horizontal="center" vertical="center"/>
    </xf>
    <xf numFmtId="0" fontId="21" fillId="9" borderId="11" xfId="7" applyFont="1" applyFill="1" applyBorder="1" applyAlignment="1">
      <alignment horizontal="center"/>
    </xf>
    <xf numFmtId="0" fontId="21" fillId="9" borderId="12" xfId="7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164" fontId="8" fillId="9" borderId="12" xfId="0" applyNumberFormat="1" applyFont="1" applyFill="1" applyBorder="1"/>
    <xf numFmtId="0" fontId="8" fillId="9" borderId="3" xfId="3" applyFont="1" applyFill="1" applyBorder="1"/>
    <xf numFmtId="0" fontId="8" fillId="9" borderId="3" xfId="0" applyFont="1" applyFill="1" applyBorder="1"/>
    <xf numFmtId="0" fontId="8" fillId="9" borderId="2" xfId="3" applyFont="1" applyFill="1" applyBorder="1"/>
    <xf numFmtId="0" fontId="8" fillId="9" borderId="1" xfId="3" applyFont="1" applyFill="1" applyBorder="1"/>
    <xf numFmtId="164" fontId="8" fillId="9" borderId="2" xfId="3" applyNumberFormat="1" applyFont="1" applyFill="1" applyBorder="1"/>
    <xf numFmtId="0" fontId="8" fillId="9" borderId="7" xfId="3" applyFont="1" applyFill="1" applyBorder="1"/>
    <xf numFmtId="0" fontId="8" fillId="9" borderId="8" xfId="3" applyFont="1" applyFill="1" applyBorder="1"/>
    <xf numFmtId="2" fontId="8" fillId="9" borderId="9" xfId="3" applyNumberFormat="1" applyFont="1" applyFill="1" applyBorder="1"/>
    <xf numFmtId="0" fontId="8" fillId="9" borderId="5" xfId="3" applyFont="1" applyFill="1" applyBorder="1"/>
    <xf numFmtId="0" fontId="8" fillId="9" borderId="0" xfId="3" applyFont="1" applyFill="1"/>
    <xf numFmtId="0" fontId="8" fillId="9" borderId="6" xfId="3" applyFont="1" applyFill="1" applyBorder="1"/>
    <xf numFmtId="0" fontId="8" fillId="9" borderId="9" xfId="3" applyFont="1" applyFill="1" applyBorder="1"/>
    <xf numFmtId="0" fontId="21" fillId="9" borderId="5" xfId="3" applyFont="1" applyFill="1" applyBorder="1" applyAlignment="1">
      <alignment horizontal="center"/>
    </xf>
    <xf numFmtId="0" fontId="21" fillId="9" borderId="0" xfId="3" applyFont="1" applyFill="1" applyAlignment="1">
      <alignment horizontal="center"/>
    </xf>
    <xf numFmtId="0" fontId="21" fillId="9" borderId="6" xfId="3" applyFont="1" applyFill="1" applyBorder="1" applyAlignment="1">
      <alignment horizontal="center"/>
    </xf>
    <xf numFmtId="0" fontId="21" fillId="9" borderId="1" xfId="7" applyFont="1" applyFill="1" applyBorder="1" applyAlignment="1">
      <alignment horizontal="center"/>
    </xf>
    <xf numFmtId="0" fontId="21" fillId="9" borderId="2" xfId="7" applyFont="1" applyFill="1" applyBorder="1" applyAlignment="1">
      <alignment horizontal="center"/>
    </xf>
    <xf numFmtId="0" fontId="21" fillId="9" borderId="1" xfId="7" applyFont="1" applyFill="1" applyBorder="1"/>
    <xf numFmtId="0" fontId="21" fillId="9" borderId="3" xfId="7" applyFont="1" applyFill="1" applyBorder="1"/>
    <xf numFmtId="4" fontId="21" fillId="9" borderId="2" xfId="7" applyNumberFormat="1" applyFont="1" applyFill="1" applyBorder="1"/>
    <xf numFmtId="0" fontId="21" fillId="9" borderId="5" xfId="7" applyFont="1" applyFill="1" applyBorder="1"/>
    <xf numFmtId="0" fontId="21" fillId="9" borderId="0" xfId="7" applyFont="1" applyFill="1"/>
    <xf numFmtId="4" fontId="21" fillId="9" borderId="6" xfId="7" applyNumberFormat="1" applyFont="1" applyFill="1" applyBorder="1"/>
    <xf numFmtId="1" fontId="21" fillId="9" borderId="6" xfId="7" applyNumberFormat="1" applyFont="1" applyFill="1" applyBorder="1"/>
    <xf numFmtId="2" fontId="21" fillId="9" borderId="0" xfId="7" applyNumberFormat="1" applyFont="1" applyFill="1"/>
    <xf numFmtId="171" fontId="8" fillId="9" borderId="9" xfId="7" applyNumberFormat="1" applyFont="1" applyFill="1" applyBorder="1"/>
    <xf numFmtId="0" fontId="8" fillId="9" borderId="3" xfId="7" applyFont="1" applyFill="1" applyBorder="1" applyAlignment="1">
      <alignment horizontal="center"/>
    </xf>
    <xf numFmtId="0" fontId="8" fillId="9" borderId="0" xfId="7" applyFont="1" applyFill="1" applyAlignment="1">
      <alignment horizontal="center"/>
    </xf>
    <xf numFmtId="0" fontId="20" fillId="9" borderId="5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1" fontId="8" fillId="9" borderId="5" xfId="7" applyNumberFormat="1" applyFont="1" applyFill="1" applyBorder="1" applyAlignment="1">
      <alignment horizontal="center"/>
    </xf>
    <xf numFmtId="1" fontId="8" fillId="9" borderId="6" xfId="7" applyNumberFormat="1" applyFont="1" applyFill="1" applyBorder="1" applyAlignment="1">
      <alignment horizontal="right"/>
    </xf>
    <xf numFmtId="1" fontId="21" fillId="9" borderId="6" xfId="7" applyNumberFormat="1" applyFont="1" applyFill="1" applyBorder="1" applyAlignment="1">
      <alignment horizontal="right"/>
    </xf>
    <xf numFmtId="2" fontId="8" fillId="9" borderId="6" xfId="7" applyNumberFormat="1" applyFont="1" applyFill="1" applyBorder="1" applyAlignment="1">
      <alignment horizontal="right"/>
    </xf>
    <xf numFmtId="1" fontId="8" fillId="9" borderId="7" xfId="7" applyNumberFormat="1" applyFont="1" applyFill="1" applyBorder="1" applyAlignment="1">
      <alignment horizontal="center"/>
    </xf>
    <xf numFmtId="0" fontId="8" fillId="9" borderId="8" xfId="7" applyFont="1" applyFill="1" applyBorder="1" applyAlignment="1">
      <alignment horizontal="center"/>
    </xf>
    <xf numFmtId="0" fontId="8" fillId="9" borderId="1" xfId="7" applyFont="1" applyFill="1" applyBorder="1" applyAlignment="1">
      <alignment horizontal="center"/>
    </xf>
    <xf numFmtId="0" fontId="8" fillId="9" borderId="2" xfId="7" applyFont="1" applyFill="1" applyBorder="1" applyAlignment="1">
      <alignment horizontal="center"/>
    </xf>
    <xf numFmtId="0" fontId="8" fillId="9" borderId="1" xfId="0" applyFont="1" applyFill="1" applyBorder="1"/>
    <xf numFmtId="0" fontId="8" fillId="9" borderId="2" xfId="0" applyFont="1" applyFill="1" applyBorder="1"/>
    <xf numFmtId="0" fontId="8" fillId="9" borderId="13" xfId="7" applyFont="1" applyFill="1" applyBorder="1"/>
    <xf numFmtId="0" fontId="8" fillId="9" borderId="5" xfId="7" applyFont="1" applyFill="1" applyBorder="1" applyAlignment="1">
      <alignment horizontal="center"/>
    </xf>
    <xf numFmtId="0" fontId="8" fillId="9" borderId="6" xfId="7" applyFont="1" applyFill="1" applyBorder="1" applyAlignment="1">
      <alignment horizontal="center"/>
    </xf>
    <xf numFmtId="14" fontId="8" fillId="0" borderId="0" xfId="7" applyNumberFormat="1" applyFont="1"/>
    <xf numFmtId="0" fontId="8" fillId="9" borderId="5" xfId="0" applyFont="1" applyFill="1" applyBorder="1"/>
    <xf numFmtId="0" fontId="8" fillId="9" borderId="0" xfId="0" applyFont="1" applyFill="1"/>
    <xf numFmtId="0" fontId="8" fillId="9" borderId="6" xfId="0" applyFont="1" applyFill="1" applyBorder="1"/>
    <xf numFmtId="0" fontId="8" fillId="9" borderId="7" xfId="7" applyFont="1" applyFill="1" applyBorder="1" applyAlignment="1">
      <alignment horizontal="center"/>
    </xf>
    <xf numFmtId="0" fontId="8" fillId="9" borderId="9" xfId="7" applyFont="1" applyFill="1" applyBorder="1" applyAlignment="1">
      <alignment horizontal="center"/>
    </xf>
    <xf numFmtId="0" fontId="8" fillId="9" borderId="7" xfId="0" applyFont="1" applyFill="1" applyBorder="1"/>
    <xf numFmtId="0" fontId="8" fillId="9" borderId="8" xfId="0" applyFont="1" applyFill="1" applyBorder="1"/>
    <xf numFmtId="0" fontId="8" fillId="9" borderId="9" xfId="0" applyFont="1" applyFill="1" applyBorder="1"/>
    <xf numFmtId="0" fontId="8" fillId="9" borderId="10" xfId="7" applyFont="1" applyFill="1" applyBorder="1"/>
  </cellXfs>
  <cellStyles count="9">
    <cellStyle name="Hyperlink 2" xfId="2" xr:uid="{4FE61311-DBD8-B048-945F-211246329FAC}"/>
    <cellStyle name="Hyperlink 2 2" xfId="8" xr:uid="{9AEAE755-0984-374B-83D3-325E278840C1}"/>
    <cellStyle name="Hyperlink 3" xfId="4" xr:uid="{6006D9EC-8120-0749-984A-414BFE0882C3}"/>
    <cellStyle name="Normal" xfId="0" builtinId="0"/>
    <cellStyle name="Normal 2" xfId="1" xr:uid="{63DDC796-707B-E346-BECA-246AC8FB8D6E}"/>
    <cellStyle name="Normal 2 2" xfId="6" xr:uid="{23C92AB3-C5D4-E44F-86E5-0B511C926082}"/>
    <cellStyle name="Normal 3" xfId="3" xr:uid="{9EF0BE49-41F8-3641-9F36-6E0EA183D3EE}"/>
    <cellStyle name="Normal 4" xfId="5" xr:uid="{19ECB998-5E58-6E4F-9183-EF25138180AA}"/>
    <cellStyle name="Normal 5" xfId="7" xr:uid="{25E274EF-2CE5-6C42-848D-8D45B2DC2040}"/>
  </cellStyles>
  <dxfs count="12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lor theme="4" tint="0.79998168889431442"/>
        <name val="Cambria"/>
        <scheme val="none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Medium7"/>
  <colors>
    <mruColors>
      <color rgb="FFFFF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908635653674E-2"/>
          <c:y val="8.8570188110700786E-3"/>
          <c:w val="0.97273465049997587"/>
          <c:h val="0.98626932728264161"/>
        </c:manualLayout>
      </c:layout>
      <c:pieChart>
        <c:varyColors val="1"/>
        <c:ser>
          <c:idx val="1"/>
          <c:order val="0"/>
          <c:tx>
            <c:v>k</c:v>
          </c:tx>
          <c:spPr>
            <a:noFill/>
            <a:ln>
              <a:noFill/>
            </a:ln>
          </c:spPr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2D-4848-9BD1-1350ADB3BC5A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22D-4848-9BD1-1350ADB3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areaChart>
        <c:grouping val="stacked"/>
        <c:varyColors val="0"/>
        <c:ser>
          <c:idx val="2"/>
          <c:order val="1"/>
          <c:tx>
            <c:strRef>
              <c:f>Calculations!$D$118</c:f>
              <c:strCache>
                <c:ptCount val="1"/>
                <c:pt idx="0">
                  <c:v>black bottom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  <c:val>
            <c:numRef>
              <c:f>Calculations!$D$119:$D$319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2D-4848-9BD1-1350ADB3BC5A}"/>
            </c:ext>
          </c:extLst>
        </c:ser>
        <c:ser>
          <c:idx val="0"/>
          <c:order val="2"/>
          <c:tx>
            <c:strRef>
              <c:f>Calculations!$E$118</c:f>
              <c:strCache>
                <c:ptCount val="1"/>
                <c:pt idx="0">
                  <c:v>transparent</c:v>
                </c:pt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Calculations!$E$119:$E$319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5.0006104110100758E-5</c:v>
                </c:pt>
                <c:pt idx="102">
                  <c:v>2.0003942310475864E-4</c:v>
                </c:pt>
                <c:pt idx="103">
                  <c:v>4.5014499950379872E-4</c:v>
                </c:pt>
                <c:pt idx="104">
                  <c:v>8.0039797934006174E-4</c:v>
                </c:pt>
                <c:pt idx="105">
                  <c:v>1.2509037251857702E-3</c:v>
                </c:pt>
                <c:pt idx="106">
                  <c:v>1.801797974945285E-3</c:v>
                </c:pt>
                <c:pt idx="107">
                  <c:v>2.4532470469736944E-3</c:v>
                </c:pt>
                <c:pt idx="108">
                  <c:v>3.2054480922455442E-3</c:v>
                </c:pt>
                <c:pt idx="109">
                  <c:v>4.058629394472546E-3</c:v>
                </c:pt>
                <c:pt idx="110">
                  <c:v>5.0130507192404083E-3</c:v>
                </c:pt>
                <c:pt idx="111">
                  <c:v>6.0690037134217834E-3</c:v>
                </c:pt>
                <c:pt idx="112">
                  <c:v>7.2268123563129505E-3</c:v>
                </c:pt>
                <c:pt idx="113">
                  <c:v>8.4868334641411414E-3</c:v>
                </c:pt>
                <c:pt idx="114">
                  <c:v>9.849457249805571E-3</c:v>
                </c:pt>
                <c:pt idx="115">
                  <c:v>1.1315107939934066E-2</c:v>
                </c:pt>
                <c:pt idx="116">
                  <c:v>1.2884244451581761E-2</c:v>
                </c:pt>
                <c:pt idx="117">
                  <c:v>1.4557361131148583E-2</c:v>
                </c:pt>
                <c:pt idx="118">
                  <c:v>1.6334988558367458E-2</c:v>
                </c:pt>
                <c:pt idx="119">
                  <c:v>1.8217694418508512E-2</c:v>
                </c:pt>
                <c:pt idx="120">
                  <c:v>2.0206084446258599E-2</c:v>
                </c:pt>
                <c:pt idx="121">
                  <c:v>2.2300803445080231E-2</c:v>
                </c:pt>
                <c:pt idx="122">
                  <c:v>2.450253638621902E-2</c:v>
                </c:pt>
                <c:pt idx="123">
                  <c:v>2.6812009591936636E-2</c:v>
                </c:pt>
                <c:pt idx="124">
                  <c:v>2.9229992007978045E-2</c:v>
                </c:pt>
                <c:pt idx="125">
                  <c:v>3.1757296570763427E-2</c:v>
                </c:pt>
                <c:pt idx="126">
                  <c:v>3.4394781675314623E-2</c:v>
                </c:pt>
                <c:pt idx="127">
                  <c:v>3.7143352750498515E-2</c:v>
                </c:pt>
                <c:pt idx="128">
                  <c:v>4.0003963948798904E-2</c:v>
                </c:pt>
                <c:pt idx="129">
                  <c:v>4.2977619958515345E-2</c:v>
                </c:pt>
                <c:pt idx="130">
                  <c:v>4.6065377947053676E-2</c:v>
                </c:pt>
                <c:pt idx="131">
                  <c:v>4.9268349644807752E-2</c:v>
                </c:pt>
                <c:pt idx="132">
                  <c:v>5.2587703580063039E-2</c:v>
                </c:pt>
                <c:pt idx="133">
                  <c:v>5.6024667476384682E-2</c:v>
                </c:pt>
                <c:pt idx="134">
                  <c:v>5.9580530825088629E-2</c:v>
                </c:pt>
                <c:pt idx="135">
                  <c:v>6.325664764667005E-2</c:v>
                </c:pt>
                <c:pt idx="136">
                  <c:v>6.7054439456476933E-2</c:v>
                </c:pt>
                <c:pt idx="137">
                  <c:v>7.097539845149281E-2</c:v>
                </c:pt>
                <c:pt idx="138">
                  <c:v>7.5021090936859602E-2</c:v>
                </c:pt>
                <c:pt idx="139">
                  <c:v>7.9193161012749202E-2</c:v>
                </c:pt>
                <c:pt idx="140">
                  <c:v>8.349333454440766E-2</c:v>
                </c:pt>
                <c:pt idx="141">
                  <c:v>8.7923423440692705E-2</c:v>
                </c:pt>
                <c:pt idx="142">
                  <c:v>9.248533026923289E-2</c:v>
                </c:pt>
                <c:pt idx="143">
                  <c:v>9.7181053239509541E-2</c:v>
                </c:pt>
                <c:pt idx="144">
                  <c:v>0.1020126915887507</c:v>
                </c:pt>
                <c:pt idx="145">
                  <c:v>0.10698245140959317</c:v>
                </c:pt>
                <c:pt idx="146">
                  <c:v>0.11209265196308926</c:v>
                </c:pt>
                <c:pt idx="147">
                  <c:v>0.11734573252589975</c:v>
                </c:pt>
                <c:pt idx="148">
                  <c:v>0.12274425982651904</c:v>
                </c:pt>
                <c:pt idx="149">
                  <c:v>0.12829093613225295</c:v>
                </c:pt>
                <c:pt idx="150">
                  <c:v>0.13398860805655288</c:v>
                </c:pt>
                <c:pt idx="151">
                  <c:v>0.13984027616537975</c:v>
                </c:pt>
                <c:pt idx="152">
                  <c:v>0.14584910547172381</c:v>
                </c:pt>
                <c:pt idx="153">
                  <c:v>0.15201843691950534</c:v>
                </c:pt>
                <c:pt idx="154">
                  <c:v>0.1583517999720998</c:v>
                </c:pt>
                <c:pt idx="155">
                  <c:v>0.1648529264370554</c:v>
                </c:pt>
                <c:pt idx="156">
                  <c:v>0.1715257656776058</c:v>
                </c:pt>
                <c:pt idx="157">
                  <c:v>0.178374501383882</c:v>
                </c:pt>
                <c:pt idx="158">
                  <c:v>0.18540357010291741</c:v>
                </c:pt>
                <c:pt idx="159">
                  <c:v>0.19261768175743321</c:v>
                </c:pt>
                <c:pt idx="160">
                  <c:v>0.20002184241993781</c:v>
                </c:pt>
                <c:pt idx="161">
                  <c:v>0.20762137965211303</c:v>
                </c:pt>
                <c:pt idx="162">
                  <c:v>0.21542197077127412</c:v>
                </c:pt>
                <c:pt idx="163">
                  <c:v>0.22342967446777695</c:v>
                </c:pt>
                <c:pt idx="164">
                  <c:v>0.23165096627197168</c:v>
                </c:pt>
                <c:pt idx="165">
                  <c:v>0.24009277845966792</c:v>
                </c:pt>
                <c:pt idx="166">
                  <c:v>0.24876254509490758</c:v>
                </c:pt>
                <c:pt idx="167">
                  <c:v>0.25766825304302465</c:v>
                </c:pt>
                <c:pt idx="168">
                  <c:v>0.26681849995182683</c:v>
                </c:pt>
                <c:pt idx="169">
                  <c:v>0.27622256040246407</c:v>
                </c:pt>
                <c:pt idx="170">
                  <c:v>0.28589046168488907</c:v>
                </c:pt>
                <c:pt idx="171">
                  <c:v>0.29583307096991729</c:v>
                </c:pt>
                <c:pt idx="172">
                  <c:v>0.30606219604962093</c:v>
                </c:pt>
                <c:pt idx="173">
                  <c:v>0.31659070232541264</c:v>
                </c:pt>
                <c:pt idx="174">
                  <c:v>0.32743264937297811</c:v>
                </c:pt>
                <c:pt idx="175">
                  <c:v>0.3386034512521171</c:v>
                </c:pt>
                <c:pt idx="176">
                  <c:v>0.35012006582250088</c:v>
                </c:pt>
                <c:pt idx="177">
                  <c:v>0.36200121976427624</c:v>
                </c:pt>
                <c:pt idx="178">
                  <c:v>0.37426767791429172</c:v>
                </c:pt>
                <c:pt idx="179">
                  <c:v>0.38694256809981131</c:v>
                </c:pt>
                <c:pt idx="180">
                  <c:v>0.40005177615221066</c:v>
                </c:pt>
                <c:pt idx="181">
                  <c:v>0.41362443061382548</c:v>
                </c:pt>
                <c:pt idx="182">
                  <c:v>0.42769350341570966</c:v>
                </c:pt>
                <c:pt idx="183">
                  <c:v>0.44229656243036397</c:v>
                </c:pt>
                <c:pt idx="184">
                  <c:v>0.45747672574702003</c:v>
                </c:pt>
                <c:pt idx="185">
                  <c:v>0.47328388811415689</c:v>
                </c:pt>
                <c:pt idx="186">
                  <c:v>0.48977632109153668</c:v>
                </c:pt>
                <c:pt idx="187">
                  <c:v>0.50702279656923899</c:v>
                </c:pt>
                <c:pt idx="188">
                  <c:v>0.52510545984321755</c:v>
                </c:pt>
                <c:pt idx="189">
                  <c:v>0.54412380406100347</c:v>
                </c:pt>
                <c:pt idx="190">
                  <c:v>0.56420031165490769</c:v>
                </c:pt>
                <c:pt idx="191">
                  <c:v>0.58548870789286156</c:v>
                </c:pt>
                <c:pt idx="192">
                  <c:v>0.60818647956998717</c:v>
                </c:pt>
                <c:pt idx="193">
                  <c:v>0.63255471307421662</c:v>
                </c:pt>
                <c:pt idx="194">
                  <c:v>0.65895128858040952</c:v>
                </c:pt>
                <c:pt idx="195">
                  <c:v>0.68789042177027682</c:v>
                </c:pt>
                <c:pt idx="196">
                  <c:v>0.72015980512212185</c:v>
                </c:pt>
                <c:pt idx="197">
                  <c:v>0.75708301603094375</c:v>
                </c:pt>
                <c:pt idx="198">
                  <c:v>0.8012369045402612</c:v>
                </c:pt>
                <c:pt idx="199">
                  <c:v>0.85927027422171087</c:v>
                </c:pt>
                <c:pt idx="20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2D-4848-9BD1-1350ADB3BC5A}"/>
            </c:ext>
          </c:extLst>
        </c:ser>
        <c:ser>
          <c:idx val="3"/>
          <c:order val="3"/>
          <c:tx>
            <c:strRef>
              <c:f>Calculations!$F$118</c:f>
              <c:strCache>
                <c:ptCount val="1"/>
                <c:pt idx="0">
                  <c:v>black top</c:v>
                </c:pt>
              </c:strCache>
            </c:strRef>
          </c:tx>
          <c:spPr>
            <a:solidFill>
              <a:schemeClr val="tx1"/>
            </a:solidFill>
            <a:ln w="9525">
              <a:noFill/>
            </a:ln>
            <a:effectLst/>
          </c:spPr>
          <c:val>
            <c:numRef>
              <c:f>Calculations!$F$119:$F$319</c:f>
              <c:numCache>
                <c:formatCode>General</c:formatCode>
                <c:ptCount val="20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1.9998999877917798</c:v>
                </c:pt>
                <c:pt idx="102">
                  <c:v>1.9995999211537905</c:v>
                </c:pt>
                <c:pt idx="103">
                  <c:v>1.9990997100009924</c:v>
                </c:pt>
                <c:pt idx="104">
                  <c:v>1.9983992040413199</c:v>
                </c:pt>
                <c:pt idx="105">
                  <c:v>1.9974981925496285</c:v>
                </c:pt>
                <c:pt idx="106">
                  <c:v>1.9963964040501094</c:v>
                </c:pt>
                <c:pt idx="107">
                  <c:v>1.9950935059060526</c:v>
                </c:pt>
                <c:pt idx="108">
                  <c:v>1.9935891038155089</c:v>
                </c:pt>
                <c:pt idx="109">
                  <c:v>1.9918827412110549</c:v>
                </c:pt>
                <c:pt idx="110">
                  <c:v>1.9899738985615192</c:v>
                </c:pt>
                <c:pt idx="111">
                  <c:v>1.9878619925731564</c:v>
                </c:pt>
                <c:pt idx="112">
                  <c:v>1.9855463752873741</c:v>
                </c:pt>
                <c:pt idx="113">
                  <c:v>1.9830263330717177</c:v>
                </c:pt>
                <c:pt idx="114">
                  <c:v>1.9803010855003889</c:v>
                </c:pt>
                <c:pt idx="115">
                  <c:v>1.9773697841201319</c:v>
                </c:pt>
                <c:pt idx="116">
                  <c:v>1.9742315110968365</c:v>
                </c:pt>
                <c:pt idx="117">
                  <c:v>1.9708852777377028</c:v>
                </c:pt>
                <c:pt idx="118">
                  <c:v>1.9673300228832651</c:v>
                </c:pt>
                <c:pt idx="119">
                  <c:v>1.963564611162983</c:v>
                </c:pt>
                <c:pt idx="120">
                  <c:v>1.9595878311074828</c:v>
                </c:pt>
                <c:pt idx="121">
                  <c:v>1.9553983931098395</c:v>
                </c:pt>
                <c:pt idx="122">
                  <c:v>1.950994927227562</c:v>
                </c:pt>
                <c:pt idx="123">
                  <c:v>1.9463759808161267</c:v>
                </c:pt>
                <c:pt idx="124">
                  <c:v>1.9415400159840439</c:v>
                </c:pt>
                <c:pt idx="125">
                  <c:v>1.9364854068584731</c:v>
                </c:pt>
                <c:pt idx="126">
                  <c:v>1.9312104366493708</c:v>
                </c:pt>
                <c:pt idx="127">
                  <c:v>1.925713294499003</c:v>
                </c:pt>
                <c:pt idx="128">
                  <c:v>1.9199920721024022</c:v>
                </c:pt>
                <c:pt idx="129">
                  <c:v>1.9140447600829693</c:v>
                </c:pt>
                <c:pt idx="130">
                  <c:v>1.9078692441058926</c:v>
                </c:pt>
                <c:pt idx="131">
                  <c:v>1.9014633007103845</c:v>
                </c:pt>
                <c:pt idx="132">
                  <c:v>1.8948245928398739</c:v>
                </c:pt>
                <c:pt idx="133">
                  <c:v>1.8879506650472306</c:v>
                </c:pt>
                <c:pt idx="134">
                  <c:v>1.8808389383498227</c:v>
                </c:pt>
                <c:pt idx="135">
                  <c:v>1.8734867047066599</c:v>
                </c:pt>
                <c:pt idx="136">
                  <c:v>1.8658911210870461</c:v>
                </c:pt>
                <c:pt idx="137">
                  <c:v>1.8580492030970144</c:v>
                </c:pt>
                <c:pt idx="138">
                  <c:v>1.8499578181262808</c:v>
                </c:pt>
                <c:pt idx="139">
                  <c:v>1.8416136779745016</c:v>
                </c:pt>
                <c:pt idx="140">
                  <c:v>1.8330133309111847</c:v>
                </c:pt>
                <c:pt idx="141">
                  <c:v>1.8241531531186146</c:v>
                </c:pt>
                <c:pt idx="142">
                  <c:v>1.8150293394615342</c:v>
                </c:pt>
                <c:pt idx="143">
                  <c:v>1.8056378935209809</c:v>
                </c:pt>
                <c:pt idx="144">
                  <c:v>1.7959746168224986</c:v>
                </c:pt>
                <c:pt idx="145">
                  <c:v>1.7860350971808137</c:v>
                </c:pt>
                <c:pt idx="146">
                  <c:v>1.7758146960738215</c:v>
                </c:pt>
                <c:pt idx="147">
                  <c:v>1.7653085349482005</c:v>
                </c:pt>
                <c:pt idx="148">
                  <c:v>1.7545114803469619</c:v>
                </c:pt>
                <c:pt idx="149">
                  <c:v>1.7434181277354941</c:v>
                </c:pt>
                <c:pt idx="150">
                  <c:v>1.7320227838868942</c:v>
                </c:pt>
                <c:pt idx="151">
                  <c:v>1.7203194476692405</c:v>
                </c:pt>
                <c:pt idx="152">
                  <c:v>1.7083017890565524</c:v>
                </c:pt>
                <c:pt idx="153">
                  <c:v>1.6959631261609893</c:v>
                </c:pt>
                <c:pt idx="154">
                  <c:v>1.6832964000558004</c:v>
                </c:pt>
                <c:pt idx="155">
                  <c:v>1.6702941471258892</c:v>
                </c:pt>
                <c:pt idx="156">
                  <c:v>1.6569484686447884</c:v>
                </c:pt>
                <c:pt idx="157">
                  <c:v>1.643250997232236</c:v>
                </c:pt>
                <c:pt idx="158">
                  <c:v>1.6291928597941652</c:v>
                </c:pt>
                <c:pt idx="159">
                  <c:v>1.6147646364851336</c:v>
                </c:pt>
                <c:pt idx="160">
                  <c:v>1.5999563151601244</c:v>
                </c:pt>
                <c:pt idx="161">
                  <c:v>1.5847572406957739</c:v>
                </c:pt>
                <c:pt idx="162">
                  <c:v>1.5691560584574518</c:v>
                </c:pt>
                <c:pt idx="163">
                  <c:v>1.5531406510644461</c:v>
                </c:pt>
                <c:pt idx="164">
                  <c:v>1.5366980674560566</c:v>
                </c:pt>
                <c:pt idx="165">
                  <c:v>1.5198144430806642</c:v>
                </c:pt>
                <c:pt idx="166">
                  <c:v>1.5024749098101848</c:v>
                </c:pt>
                <c:pt idx="167">
                  <c:v>1.4846634939139507</c:v>
                </c:pt>
                <c:pt idx="168">
                  <c:v>1.4663630000963463</c:v>
                </c:pt>
                <c:pt idx="169">
                  <c:v>1.4475548791950719</c:v>
                </c:pt>
                <c:pt idx="170">
                  <c:v>1.4282190766302219</c:v>
                </c:pt>
                <c:pt idx="171">
                  <c:v>1.4083338580601654</c:v>
                </c:pt>
                <c:pt idx="172">
                  <c:v>1.3878756079007581</c:v>
                </c:pt>
                <c:pt idx="173">
                  <c:v>1.3668185953491747</c:v>
                </c:pt>
                <c:pt idx="174">
                  <c:v>1.3451347012540438</c:v>
                </c:pt>
                <c:pt idx="175">
                  <c:v>1.3227930974957658</c:v>
                </c:pt>
                <c:pt idx="176">
                  <c:v>1.2997598683549982</c:v>
                </c:pt>
                <c:pt idx="177">
                  <c:v>1.2759975604714475</c:v>
                </c:pt>
                <c:pt idx="178">
                  <c:v>1.2514646441714166</c:v>
                </c:pt>
                <c:pt idx="179">
                  <c:v>1.2261148638003774</c:v>
                </c:pt>
                <c:pt idx="180">
                  <c:v>1.1998964476955787</c:v>
                </c:pt>
                <c:pt idx="181">
                  <c:v>1.172751138772349</c:v>
                </c:pt>
                <c:pt idx="182">
                  <c:v>1.1446129931685807</c:v>
                </c:pt>
                <c:pt idx="183">
                  <c:v>1.1154068751392721</c:v>
                </c:pt>
                <c:pt idx="184">
                  <c:v>1.0850465485059599</c:v>
                </c:pt>
                <c:pt idx="185">
                  <c:v>1.0534322237716862</c:v>
                </c:pt>
                <c:pt idx="186">
                  <c:v>1.0204473578169266</c:v>
                </c:pt>
                <c:pt idx="187">
                  <c:v>0.98595440686152203</c:v>
                </c:pt>
                <c:pt idx="188">
                  <c:v>0.9497890803135649</c:v>
                </c:pt>
                <c:pt idx="189">
                  <c:v>0.91175239187799306</c:v>
                </c:pt>
                <c:pt idx="190">
                  <c:v>0.87159937669018472</c:v>
                </c:pt>
                <c:pt idx="191">
                  <c:v>0.82902258421427688</c:v>
                </c:pt>
                <c:pt idx="192">
                  <c:v>0.78362704086002566</c:v>
                </c:pt>
                <c:pt idx="193">
                  <c:v>0.73489057385156675</c:v>
                </c:pt>
                <c:pt idx="194">
                  <c:v>0.68209742283918096</c:v>
                </c:pt>
                <c:pt idx="195">
                  <c:v>0.62421915645944648</c:v>
                </c:pt>
                <c:pt idx="196">
                  <c:v>0.5596803897557564</c:v>
                </c:pt>
                <c:pt idx="197">
                  <c:v>0.48583396793811257</c:v>
                </c:pt>
                <c:pt idx="198">
                  <c:v>0.39752619091947766</c:v>
                </c:pt>
                <c:pt idx="199">
                  <c:v>0.28145945155657831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2D-4848-9BD1-1350ADB3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354064"/>
        <c:axId val="239352496"/>
      </c:areaChart>
      <c:catAx>
        <c:axId val="23935406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9352496"/>
        <c:crosses val="autoZero"/>
        <c:auto val="1"/>
        <c:lblAlgn val="ctr"/>
        <c:lblOffset val="100"/>
        <c:noMultiLvlLbl val="0"/>
      </c:catAx>
      <c:valAx>
        <c:axId val="239352496"/>
        <c:scaling>
          <c:orientation val="minMax"/>
          <c:max val="2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39354064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0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astronomy-morsels.ch/morsels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chart" Target="../charts/chart1.xml"/><Relationship Id="rId1" Type="http://schemas.openxmlformats.org/officeDocument/2006/relationships/image" Target="../media/image3.gif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gif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22.jpg"/><Relationship Id="rId1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88900</xdr:rowOff>
    </xdr:from>
    <xdr:ext cx="8634139" cy="5892800"/>
    <xdr:pic>
      <xdr:nvPicPr>
        <xdr:cNvPr id="2" name="Picture 1" descr="Phases of the Moon explained">
          <a:extLst>
            <a:ext uri="{FF2B5EF4-FFF2-40B4-BE49-F238E27FC236}">
              <a16:creationId xmlns:a16="http://schemas.microsoft.com/office/drawing/2014/main" id="{8EA3C129-B361-8B44-A264-269F738D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832100"/>
          <a:ext cx="8634139" cy="5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622300</xdr:colOff>
      <xdr:row>53</xdr:row>
      <xdr:rowOff>101600</xdr:rowOff>
    </xdr:from>
    <xdr:to>
      <xdr:col>8</xdr:col>
      <xdr:colOff>838200</xdr:colOff>
      <xdr:row>63</xdr:row>
      <xdr:rowOff>12700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ECC9ED-6CAA-A177-1B8B-D12247A34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1400" y="10972800"/>
          <a:ext cx="539750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2438400" cy="2311400"/>
    <xdr:pic>
      <xdr:nvPicPr>
        <xdr:cNvPr id="2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0D1445AD-9118-5D4B-A615-D96D77FE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24384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12700</xdr:colOff>
      <xdr:row>6</xdr:row>
      <xdr:rowOff>0</xdr:rowOff>
    </xdr:from>
    <xdr:ext cx="635000" cy="495300"/>
    <xdr:pic>
      <xdr:nvPicPr>
        <xdr:cNvPr id="3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706FE7DB-4ECF-F248-9185-43683156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762000"/>
          <a:ext cx="635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622300" cy="647700"/>
    <xdr:pic>
      <xdr:nvPicPr>
        <xdr:cNvPr id="4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7B7DED06-8BE4-C141-B2C6-AAB263F8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622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609600" cy="622300"/>
    <xdr:pic>
      <xdr:nvPicPr>
        <xdr:cNvPr id="5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BE9A9A4F-47E4-F94C-ADDF-64C5D15B7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6096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723900" cy="647700"/>
    <xdr:pic>
      <xdr:nvPicPr>
        <xdr:cNvPr id="6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8023B616-A12D-4E42-B595-C1A13DF92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723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622300" cy="584200"/>
    <xdr:pic>
      <xdr:nvPicPr>
        <xdr:cNvPr id="7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6F57DE17-F21B-C346-9DCB-26CA0ECF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723900" cy="660400"/>
    <xdr:pic>
      <xdr:nvPicPr>
        <xdr:cNvPr id="8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6A2D6AA0-0DFC-AF42-86F8-84D34C03B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723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736600" cy="660400"/>
    <xdr:pic>
      <xdr:nvPicPr>
        <xdr:cNvPr id="9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426AACB6-F14F-8145-9A2B-5AAB6BC7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7600" y="762000"/>
          <a:ext cx="736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6</xdr:row>
      <xdr:rowOff>0</xdr:rowOff>
    </xdr:from>
    <xdr:ext cx="711200" cy="622300"/>
    <xdr:pic>
      <xdr:nvPicPr>
        <xdr:cNvPr id="10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036FCA13-EF5E-8C47-AF23-E71CD132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762000"/>
          <a:ext cx="711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12700</xdr:colOff>
      <xdr:row>6</xdr:row>
      <xdr:rowOff>0</xdr:rowOff>
    </xdr:from>
    <xdr:ext cx="635000" cy="660400"/>
    <xdr:pic>
      <xdr:nvPicPr>
        <xdr:cNvPr id="11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468C7DD3-4D26-724D-85C3-1754C5354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762000"/>
          <a:ext cx="6350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736600" cy="495300"/>
    <xdr:pic>
      <xdr:nvPicPr>
        <xdr:cNvPr id="12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01AF23AC-31B4-054F-9EFE-B7367316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736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0</xdr:row>
      <xdr:rowOff>0</xdr:rowOff>
    </xdr:from>
    <xdr:ext cx="2298700" cy="2324100"/>
    <xdr:pic>
      <xdr:nvPicPr>
        <xdr:cNvPr id="13" name="Picture 12" descr="SolarSystem.jpg" hidden="1">
          <a:extLst>
            <a:ext uri="{FF2B5EF4-FFF2-40B4-BE49-F238E27FC236}">
              <a16:creationId xmlns:a16="http://schemas.microsoft.com/office/drawing/2014/main" id="{0DE6B6E3-F9DD-6044-8B10-6012BBCD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22987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3136900" cy="2019300"/>
    <xdr:pic>
      <xdr:nvPicPr>
        <xdr:cNvPr id="14" name="Picture 13" descr="SolarSystem2.jpg" hidden="1">
          <a:extLst>
            <a:ext uri="{FF2B5EF4-FFF2-40B4-BE49-F238E27FC236}">
              <a16:creationId xmlns:a16="http://schemas.microsoft.com/office/drawing/2014/main" id="{377FD01A-11A9-404C-8C4F-694AADD5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0"/>
          <a:ext cx="31369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0</xdr:row>
      <xdr:rowOff>0</xdr:rowOff>
    </xdr:from>
    <xdr:ext cx="2209800" cy="2324100"/>
    <xdr:pic>
      <xdr:nvPicPr>
        <xdr:cNvPr id="15" name="Picture 14" descr="SolarSystem.jpg" hidden="1">
          <a:extLst>
            <a:ext uri="{FF2B5EF4-FFF2-40B4-BE49-F238E27FC236}">
              <a16:creationId xmlns:a16="http://schemas.microsoft.com/office/drawing/2014/main" id="{F8407CB4-2621-144B-BBBC-79EE130D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22098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0</xdr:row>
      <xdr:rowOff>0</xdr:rowOff>
    </xdr:from>
    <xdr:ext cx="3124200" cy="2019300"/>
    <xdr:pic>
      <xdr:nvPicPr>
        <xdr:cNvPr id="16" name="Picture 15" descr="SolarSystem2.jpg" hidden="1">
          <a:extLst>
            <a:ext uri="{FF2B5EF4-FFF2-40B4-BE49-F238E27FC236}">
              <a16:creationId xmlns:a16="http://schemas.microsoft.com/office/drawing/2014/main" id="{7A6F4301-617C-D14B-9704-3F163043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100" y="0"/>
          <a:ext cx="31242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0</xdr:row>
      <xdr:rowOff>0</xdr:rowOff>
    </xdr:from>
    <xdr:ext cx="3111500" cy="2019300"/>
    <xdr:pic>
      <xdr:nvPicPr>
        <xdr:cNvPr id="17" name="Picture 16" descr="SolarSystem2.jpg" hidden="1">
          <a:extLst>
            <a:ext uri="{FF2B5EF4-FFF2-40B4-BE49-F238E27FC236}">
              <a16:creationId xmlns:a16="http://schemas.microsoft.com/office/drawing/2014/main" id="{89F6DABD-E215-EA42-BF4E-0FD840B4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0"/>
          <a:ext cx="31115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3098800" cy="2019300"/>
    <xdr:pic>
      <xdr:nvPicPr>
        <xdr:cNvPr id="18" name="Picture 17" descr="SolarSystem2.jpg" hidden="1">
          <a:extLst>
            <a:ext uri="{FF2B5EF4-FFF2-40B4-BE49-F238E27FC236}">
              <a16:creationId xmlns:a16="http://schemas.microsoft.com/office/drawing/2014/main" id="{106F44DC-76A8-8447-93FB-E494E7A1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30988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6</xdr:row>
      <xdr:rowOff>0</xdr:rowOff>
    </xdr:from>
    <xdr:ext cx="1371600" cy="1028700"/>
    <xdr:pic>
      <xdr:nvPicPr>
        <xdr:cNvPr id="19" name="Picture 18" descr="Saturn.jpg" hidden="1">
          <a:extLst>
            <a:ext uri="{FF2B5EF4-FFF2-40B4-BE49-F238E27FC236}">
              <a16:creationId xmlns:a16="http://schemas.microsoft.com/office/drawing/2014/main" id="{E154E9AF-BBEF-BE49-96F2-9DFDC70C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9200" y="762000"/>
          <a:ext cx="1371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6</xdr:row>
      <xdr:rowOff>0</xdr:rowOff>
    </xdr:from>
    <xdr:ext cx="1130300" cy="990600"/>
    <xdr:pic>
      <xdr:nvPicPr>
        <xdr:cNvPr id="20" name="MoonNewMoon" descr="MoonNew.gif" hidden="1">
          <a:extLst>
            <a:ext uri="{FF2B5EF4-FFF2-40B4-BE49-F238E27FC236}">
              <a16:creationId xmlns:a16="http://schemas.microsoft.com/office/drawing/2014/main" id="{C0629606-7654-FE40-95EA-44264BAA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762000"/>
          <a:ext cx="1130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1447800" cy="1308100"/>
    <xdr:pic>
      <xdr:nvPicPr>
        <xdr:cNvPr id="21" name="Picture 20" descr="Jupiter.jpg" hidden="1">
          <a:extLst>
            <a:ext uri="{FF2B5EF4-FFF2-40B4-BE49-F238E27FC236}">
              <a16:creationId xmlns:a16="http://schemas.microsoft.com/office/drawing/2014/main" id="{A92D1B66-7212-454B-AA20-2418625C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14478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6</xdr:row>
      <xdr:rowOff>0</xdr:rowOff>
    </xdr:from>
    <xdr:ext cx="1041400" cy="990600"/>
    <xdr:pic>
      <xdr:nvPicPr>
        <xdr:cNvPr id="22" name="Picture 21" descr="MoonNew.gif" hidden="1">
          <a:extLst>
            <a:ext uri="{FF2B5EF4-FFF2-40B4-BE49-F238E27FC236}">
              <a16:creationId xmlns:a16="http://schemas.microsoft.com/office/drawing/2014/main" id="{30E07614-B604-D54C-8E2B-D9DA3E23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9200" y="762000"/>
          <a:ext cx="10414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647700</xdr:colOff>
      <xdr:row>0</xdr:row>
      <xdr:rowOff>0</xdr:rowOff>
    </xdr:from>
    <xdr:ext cx="3213100" cy="2019300"/>
    <xdr:pic>
      <xdr:nvPicPr>
        <xdr:cNvPr id="23" name="Picture 22" descr="SolarSystem2.jpg" hidden="1">
          <a:extLst>
            <a:ext uri="{FF2B5EF4-FFF2-40B4-BE49-F238E27FC236}">
              <a16:creationId xmlns:a16="http://schemas.microsoft.com/office/drawing/2014/main" id="{AB8AF564-2AEE-504B-843E-F0E196223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0"/>
          <a:ext cx="32131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647700</xdr:colOff>
      <xdr:row>0</xdr:row>
      <xdr:rowOff>0</xdr:rowOff>
    </xdr:from>
    <xdr:ext cx="3213100" cy="2019300"/>
    <xdr:pic>
      <xdr:nvPicPr>
        <xdr:cNvPr id="24" name="Picture 23" descr="SolarSystem2.jpg" hidden="1">
          <a:extLst>
            <a:ext uri="{FF2B5EF4-FFF2-40B4-BE49-F238E27FC236}">
              <a16:creationId xmlns:a16="http://schemas.microsoft.com/office/drawing/2014/main" id="{77B55D16-436E-6345-A711-A3BC07F7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0"/>
          <a:ext cx="32131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2451100" cy="2171700"/>
    <xdr:pic>
      <xdr:nvPicPr>
        <xdr:cNvPr id="25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F0944CEB-C1F5-F14D-A1AA-C9E7D3EA9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24511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2311400" cy="2184400"/>
    <xdr:pic>
      <xdr:nvPicPr>
        <xdr:cNvPr id="26" name="Picture 25" descr="SolarSystem.jpg" hidden="1">
          <a:extLst>
            <a:ext uri="{FF2B5EF4-FFF2-40B4-BE49-F238E27FC236}">
              <a16:creationId xmlns:a16="http://schemas.microsoft.com/office/drawing/2014/main" id="{EFC72995-46DF-154C-881F-3A792DE0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23114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0</xdr:row>
      <xdr:rowOff>0</xdr:rowOff>
    </xdr:from>
    <xdr:ext cx="2209800" cy="2184400"/>
    <xdr:pic>
      <xdr:nvPicPr>
        <xdr:cNvPr id="27" name="Picture 26" descr="SolarSystem.jpg" hidden="1">
          <a:extLst>
            <a:ext uri="{FF2B5EF4-FFF2-40B4-BE49-F238E27FC236}">
              <a16:creationId xmlns:a16="http://schemas.microsoft.com/office/drawing/2014/main" id="{0F78BBF2-BD59-434E-BFA9-1D50503B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22098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30</xdr:col>
      <xdr:colOff>0</xdr:colOff>
      <xdr:row>6</xdr:row>
      <xdr:rowOff>0</xdr:rowOff>
    </xdr:from>
    <xdr:ext cx="723900" cy="596900"/>
    <xdr:pic>
      <xdr:nvPicPr>
        <xdr:cNvPr id="28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16381774-A7D8-4745-B8B4-F834D07A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0" y="762000"/>
          <a:ext cx="723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30</xdr:col>
      <xdr:colOff>25400</xdr:colOff>
      <xdr:row>6</xdr:row>
      <xdr:rowOff>0</xdr:rowOff>
    </xdr:from>
    <xdr:ext cx="711200" cy="558800"/>
    <xdr:pic>
      <xdr:nvPicPr>
        <xdr:cNvPr id="29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2C5BEBCD-5231-204E-8BE8-D9C065AA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1400" y="762000"/>
          <a:ext cx="711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31</xdr:col>
      <xdr:colOff>12700</xdr:colOff>
      <xdr:row>6</xdr:row>
      <xdr:rowOff>0</xdr:rowOff>
    </xdr:from>
    <xdr:ext cx="635000" cy="584200"/>
    <xdr:pic>
      <xdr:nvPicPr>
        <xdr:cNvPr id="30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4BEAD9FF-363D-CA43-972D-C49AAB68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2900" y="762000"/>
          <a:ext cx="635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0</xdr:row>
      <xdr:rowOff>0</xdr:rowOff>
    </xdr:from>
    <xdr:ext cx="3111500" cy="1866900"/>
    <xdr:pic>
      <xdr:nvPicPr>
        <xdr:cNvPr id="31" name="Picture 30" descr="SolarSystem2.jpg" hidden="1">
          <a:extLst>
            <a:ext uri="{FF2B5EF4-FFF2-40B4-BE49-F238E27FC236}">
              <a16:creationId xmlns:a16="http://schemas.microsoft.com/office/drawing/2014/main" id="{97069C62-3BE3-3B44-A0A8-554E384E3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0"/>
          <a:ext cx="31115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0</xdr:colOff>
      <xdr:row>6</xdr:row>
      <xdr:rowOff>0</xdr:rowOff>
    </xdr:from>
    <xdr:ext cx="1447800" cy="1143000"/>
    <xdr:pic>
      <xdr:nvPicPr>
        <xdr:cNvPr id="32" name="Picture 31" descr="Jupiter.jpg" hidden="1">
          <a:extLst>
            <a:ext uri="{FF2B5EF4-FFF2-40B4-BE49-F238E27FC236}">
              <a16:creationId xmlns:a16="http://schemas.microsoft.com/office/drawing/2014/main" id="{AC3433F7-82A9-1542-A183-F1ADBD7A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1800" y="762000"/>
          <a:ext cx="1447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0</xdr:row>
      <xdr:rowOff>0</xdr:rowOff>
    </xdr:from>
    <xdr:ext cx="2451100" cy="2171700"/>
    <xdr:pic>
      <xdr:nvPicPr>
        <xdr:cNvPr id="33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14E1436E-3B4E-FA4A-94E7-80EBAE5F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0"/>
          <a:ext cx="24511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0</xdr:row>
      <xdr:rowOff>0</xdr:rowOff>
    </xdr:from>
    <xdr:ext cx="2311400" cy="2184400"/>
    <xdr:pic>
      <xdr:nvPicPr>
        <xdr:cNvPr id="34" name="Picture 33" descr="SolarSystem.jpg" hidden="1">
          <a:extLst>
            <a:ext uri="{FF2B5EF4-FFF2-40B4-BE49-F238E27FC236}">
              <a16:creationId xmlns:a16="http://schemas.microsoft.com/office/drawing/2014/main" id="{19789221-C0C2-3E4E-AA5E-49F40CA5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0"/>
          <a:ext cx="23114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0</xdr:row>
      <xdr:rowOff>0</xdr:rowOff>
    </xdr:from>
    <xdr:ext cx="2209800" cy="2184400"/>
    <xdr:pic>
      <xdr:nvPicPr>
        <xdr:cNvPr id="35" name="Picture 34" descr="SolarSystem.jpg" hidden="1">
          <a:extLst>
            <a:ext uri="{FF2B5EF4-FFF2-40B4-BE49-F238E27FC236}">
              <a16:creationId xmlns:a16="http://schemas.microsoft.com/office/drawing/2014/main" id="{94157A46-AE61-BD49-9FA6-E0A8A840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0"/>
          <a:ext cx="22098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32</xdr:col>
      <xdr:colOff>0</xdr:colOff>
      <xdr:row>6</xdr:row>
      <xdr:rowOff>0</xdr:rowOff>
    </xdr:from>
    <xdr:ext cx="723900" cy="596900"/>
    <xdr:pic>
      <xdr:nvPicPr>
        <xdr:cNvPr id="36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3E027632-DBB4-FD4A-B7BC-1D39EDBC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4400" y="762000"/>
          <a:ext cx="723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32</xdr:col>
      <xdr:colOff>25400</xdr:colOff>
      <xdr:row>6</xdr:row>
      <xdr:rowOff>0</xdr:rowOff>
    </xdr:from>
    <xdr:ext cx="711200" cy="558800"/>
    <xdr:pic>
      <xdr:nvPicPr>
        <xdr:cNvPr id="37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105EF076-0EEB-3342-B194-B167E285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9800" y="762000"/>
          <a:ext cx="711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12700</xdr:colOff>
      <xdr:row>6</xdr:row>
      <xdr:rowOff>0</xdr:rowOff>
    </xdr:from>
    <xdr:ext cx="635000" cy="584200"/>
    <xdr:pic>
      <xdr:nvPicPr>
        <xdr:cNvPr id="38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95AD49B2-3B47-3047-B474-E30C2778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1300" y="762000"/>
          <a:ext cx="635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0</xdr:row>
      <xdr:rowOff>0</xdr:rowOff>
    </xdr:from>
    <xdr:ext cx="3111500" cy="1866900"/>
    <xdr:pic>
      <xdr:nvPicPr>
        <xdr:cNvPr id="39" name="Picture 38" descr="SolarSystem2.jpg" hidden="1">
          <a:extLst>
            <a:ext uri="{FF2B5EF4-FFF2-40B4-BE49-F238E27FC236}">
              <a16:creationId xmlns:a16="http://schemas.microsoft.com/office/drawing/2014/main" id="{D2A4AE97-BB65-F348-8C61-01A4E74D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31115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31</xdr:col>
      <xdr:colOff>0</xdr:colOff>
      <xdr:row>6</xdr:row>
      <xdr:rowOff>0</xdr:rowOff>
    </xdr:from>
    <xdr:ext cx="1447800" cy="1143000"/>
    <xdr:pic>
      <xdr:nvPicPr>
        <xdr:cNvPr id="40" name="Picture 39" descr="Jupiter.jpg" hidden="1">
          <a:extLst>
            <a:ext uri="{FF2B5EF4-FFF2-40B4-BE49-F238E27FC236}">
              <a16:creationId xmlns:a16="http://schemas.microsoft.com/office/drawing/2014/main" id="{6F91CD88-3B08-C94D-8AFA-9126403B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0" y="762000"/>
          <a:ext cx="1447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0</xdr:row>
      <xdr:rowOff>0</xdr:rowOff>
    </xdr:from>
    <xdr:ext cx="2451100" cy="2171700"/>
    <xdr:pic>
      <xdr:nvPicPr>
        <xdr:cNvPr id="41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DF0AD27D-C817-AD41-A833-27BF757E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24511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0</xdr:row>
      <xdr:rowOff>0</xdr:rowOff>
    </xdr:from>
    <xdr:ext cx="2311400" cy="2184400"/>
    <xdr:pic>
      <xdr:nvPicPr>
        <xdr:cNvPr id="42" name="Picture 41" descr="SolarSystem.jpg" hidden="1">
          <a:extLst>
            <a:ext uri="{FF2B5EF4-FFF2-40B4-BE49-F238E27FC236}">
              <a16:creationId xmlns:a16="http://schemas.microsoft.com/office/drawing/2014/main" id="{7EDD0184-392B-BF44-B6BC-2CE73CD0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23114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0</xdr:row>
      <xdr:rowOff>0</xdr:rowOff>
    </xdr:from>
    <xdr:ext cx="2209800" cy="2184400"/>
    <xdr:pic>
      <xdr:nvPicPr>
        <xdr:cNvPr id="43" name="Picture 42" descr="SolarSystem.jpg" hidden="1">
          <a:extLst>
            <a:ext uri="{FF2B5EF4-FFF2-40B4-BE49-F238E27FC236}">
              <a16:creationId xmlns:a16="http://schemas.microsoft.com/office/drawing/2014/main" id="{4AB0C8C0-912F-E247-87ED-710B9D5D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22098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0</xdr:row>
      <xdr:rowOff>0</xdr:rowOff>
    </xdr:from>
    <xdr:ext cx="1447800" cy="1143000"/>
    <xdr:pic>
      <xdr:nvPicPr>
        <xdr:cNvPr id="44" name="Picture 43" descr="Jupiter.jpg" hidden="1">
          <a:extLst>
            <a:ext uri="{FF2B5EF4-FFF2-40B4-BE49-F238E27FC236}">
              <a16:creationId xmlns:a16="http://schemas.microsoft.com/office/drawing/2014/main" id="{6FDE386E-5B87-924B-A3D9-49A827E9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1447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0</xdr:colOff>
      <xdr:row>6</xdr:row>
      <xdr:rowOff>0</xdr:rowOff>
    </xdr:from>
    <xdr:ext cx="723900" cy="596900"/>
    <xdr:pic>
      <xdr:nvPicPr>
        <xdr:cNvPr id="45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EEA139EF-5E89-D14D-9AD4-66274EE9C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2800" y="762000"/>
          <a:ext cx="723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25400</xdr:colOff>
      <xdr:row>6</xdr:row>
      <xdr:rowOff>0</xdr:rowOff>
    </xdr:from>
    <xdr:ext cx="711200" cy="558800"/>
    <xdr:pic>
      <xdr:nvPicPr>
        <xdr:cNvPr id="46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26E77561-D050-D547-87EF-02909BE4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8200" y="762000"/>
          <a:ext cx="711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12700</xdr:colOff>
      <xdr:row>0</xdr:row>
      <xdr:rowOff>0</xdr:rowOff>
    </xdr:from>
    <xdr:ext cx="635000" cy="584200"/>
    <xdr:pic>
      <xdr:nvPicPr>
        <xdr:cNvPr id="47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93BDF7C6-F0BF-7E4A-A71A-7E3A2D0C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6350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0</xdr:row>
      <xdr:rowOff>0</xdr:rowOff>
    </xdr:from>
    <xdr:ext cx="1447800" cy="1143000"/>
    <xdr:pic>
      <xdr:nvPicPr>
        <xdr:cNvPr id="48" name="Picture 47" descr="Jupiter.jpg" hidden="1">
          <a:extLst>
            <a:ext uri="{FF2B5EF4-FFF2-40B4-BE49-F238E27FC236}">
              <a16:creationId xmlns:a16="http://schemas.microsoft.com/office/drawing/2014/main" id="{D02B5493-7EEE-8442-B0C0-708C0E65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1447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0</xdr:row>
      <xdr:rowOff>0</xdr:rowOff>
    </xdr:from>
    <xdr:ext cx="2451100" cy="2171700"/>
    <xdr:pic>
      <xdr:nvPicPr>
        <xdr:cNvPr id="49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68907D8D-8A62-D34C-BE3E-E8DE9B46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24511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0</xdr:row>
      <xdr:rowOff>0</xdr:rowOff>
    </xdr:from>
    <xdr:ext cx="2311400" cy="2184400"/>
    <xdr:pic>
      <xdr:nvPicPr>
        <xdr:cNvPr id="50" name="Picture 49" descr="SolarSystem.jpg" hidden="1">
          <a:extLst>
            <a:ext uri="{FF2B5EF4-FFF2-40B4-BE49-F238E27FC236}">
              <a16:creationId xmlns:a16="http://schemas.microsoft.com/office/drawing/2014/main" id="{623008FD-29A8-534F-B580-17CFFE82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23114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0</xdr:row>
      <xdr:rowOff>0</xdr:rowOff>
    </xdr:from>
    <xdr:ext cx="2209800" cy="2184400"/>
    <xdr:pic>
      <xdr:nvPicPr>
        <xdr:cNvPr id="51" name="Picture 50" descr="SolarSystem.jpg" hidden="1">
          <a:extLst>
            <a:ext uri="{FF2B5EF4-FFF2-40B4-BE49-F238E27FC236}">
              <a16:creationId xmlns:a16="http://schemas.microsoft.com/office/drawing/2014/main" id="{613AD35B-80FD-9F42-B861-CD947266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22098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0</xdr:row>
      <xdr:rowOff>0</xdr:rowOff>
    </xdr:from>
    <xdr:ext cx="1447800" cy="1143000"/>
    <xdr:pic>
      <xdr:nvPicPr>
        <xdr:cNvPr id="52" name="Picture 51" descr="Jupiter.jpg" hidden="1">
          <a:extLst>
            <a:ext uri="{FF2B5EF4-FFF2-40B4-BE49-F238E27FC236}">
              <a16:creationId xmlns:a16="http://schemas.microsoft.com/office/drawing/2014/main" id="{85F2F30F-31B1-9842-8DD7-639F890D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8800" y="0"/>
          <a:ext cx="1447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31</xdr:col>
      <xdr:colOff>12700</xdr:colOff>
      <xdr:row>6</xdr:row>
      <xdr:rowOff>0</xdr:rowOff>
    </xdr:from>
    <xdr:ext cx="635000" cy="660400"/>
    <xdr:pic>
      <xdr:nvPicPr>
        <xdr:cNvPr id="53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5A1FBA41-2435-1542-BC37-F60BE864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2900" y="762000"/>
          <a:ext cx="6350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12700</xdr:colOff>
      <xdr:row>6</xdr:row>
      <xdr:rowOff>0</xdr:rowOff>
    </xdr:from>
    <xdr:ext cx="635000" cy="660400"/>
    <xdr:pic>
      <xdr:nvPicPr>
        <xdr:cNvPr id="54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19ADFFB9-A768-AE4A-BAC4-76C67E15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1300" y="762000"/>
          <a:ext cx="6350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12700</xdr:colOff>
      <xdr:row>6</xdr:row>
      <xdr:rowOff>0</xdr:rowOff>
    </xdr:from>
    <xdr:ext cx="635000" cy="660400"/>
    <xdr:pic>
      <xdr:nvPicPr>
        <xdr:cNvPr id="55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1AE5317B-DA87-0143-A0CF-8075C34D2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762000"/>
          <a:ext cx="6350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622300" cy="647700"/>
    <xdr:pic>
      <xdr:nvPicPr>
        <xdr:cNvPr id="56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50641C8E-0CC9-1D4B-A08D-7543AE77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622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609600" cy="622300"/>
    <xdr:pic>
      <xdr:nvPicPr>
        <xdr:cNvPr id="57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9F84F76E-DD6B-5043-B552-F31981155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6096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723900" cy="647700"/>
    <xdr:pic>
      <xdr:nvPicPr>
        <xdr:cNvPr id="58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B5B694F5-9436-3543-8FC7-76F2DA63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723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622300" cy="584200"/>
    <xdr:pic>
      <xdr:nvPicPr>
        <xdr:cNvPr id="59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A5CB326B-0411-7D47-AA2F-FAD66824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622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723900" cy="660400"/>
    <xdr:pic>
      <xdr:nvPicPr>
        <xdr:cNvPr id="60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295B6000-0D24-D747-84CE-D94C5A34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723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0</xdr:colOff>
      <xdr:row>6</xdr:row>
      <xdr:rowOff>0</xdr:rowOff>
    </xdr:from>
    <xdr:ext cx="736600" cy="660400"/>
    <xdr:pic>
      <xdr:nvPicPr>
        <xdr:cNvPr id="61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8D1271B9-03B8-3546-B627-224842A7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0" y="762000"/>
          <a:ext cx="736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25400</xdr:colOff>
      <xdr:row>6</xdr:row>
      <xdr:rowOff>0</xdr:rowOff>
    </xdr:from>
    <xdr:ext cx="711200" cy="622300"/>
    <xdr:pic>
      <xdr:nvPicPr>
        <xdr:cNvPr id="62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8DA22760-DD02-1E47-942F-769C1CFCE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6600" y="762000"/>
          <a:ext cx="711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12700</xdr:colOff>
      <xdr:row>6</xdr:row>
      <xdr:rowOff>0</xdr:rowOff>
    </xdr:from>
    <xdr:ext cx="635000" cy="660400"/>
    <xdr:pic>
      <xdr:nvPicPr>
        <xdr:cNvPr id="63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E5D1B0AD-C022-9743-B249-A1801016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8100" y="762000"/>
          <a:ext cx="6350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736600" cy="495300"/>
    <xdr:pic>
      <xdr:nvPicPr>
        <xdr:cNvPr id="64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684AF5BF-365C-5648-BD9F-7A81FB09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736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6</xdr:row>
      <xdr:rowOff>0</xdr:rowOff>
    </xdr:from>
    <xdr:ext cx="1130300" cy="990600"/>
    <xdr:pic>
      <xdr:nvPicPr>
        <xdr:cNvPr id="65" name="MoonNewMoon" descr="MoonNew.gif" hidden="1">
          <a:extLst>
            <a:ext uri="{FF2B5EF4-FFF2-40B4-BE49-F238E27FC236}">
              <a16:creationId xmlns:a16="http://schemas.microsoft.com/office/drawing/2014/main" id="{B476031E-8E7B-B241-929F-1F5F303E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0" y="762000"/>
          <a:ext cx="1130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0</xdr:colOff>
      <xdr:row>6</xdr:row>
      <xdr:rowOff>0</xdr:rowOff>
    </xdr:from>
    <xdr:ext cx="1447800" cy="1143000"/>
    <xdr:pic>
      <xdr:nvPicPr>
        <xdr:cNvPr id="66" name="Picture 31" descr="Jupiter.jpg" hidden="1">
          <a:extLst>
            <a:ext uri="{FF2B5EF4-FFF2-40B4-BE49-F238E27FC236}">
              <a16:creationId xmlns:a16="http://schemas.microsoft.com/office/drawing/2014/main" id="{3EAD4C7E-6CBC-CA4A-B12D-B40B5F31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5400" y="762000"/>
          <a:ext cx="1447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12700</xdr:colOff>
      <xdr:row>14</xdr:row>
      <xdr:rowOff>0</xdr:rowOff>
    </xdr:from>
    <xdr:ext cx="635000" cy="495300"/>
    <xdr:pic>
      <xdr:nvPicPr>
        <xdr:cNvPr id="68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AFF64C1A-7B71-5943-99EB-1309BFF2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028700"/>
          <a:ext cx="635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14</xdr:row>
      <xdr:rowOff>0</xdr:rowOff>
    </xdr:from>
    <xdr:ext cx="1041400" cy="990600"/>
    <xdr:pic>
      <xdr:nvPicPr>
        <xdr:cNvPr id="69" name="Picture 68" descr="MoonNew.gif" hidden="1">
          <a:extLst>
            <a:ext uri="{FF2B5EF4-FFF2-40B4-BE49-F238E27FC236}">
              <a16:creationId xmlns:a16="http://schemas.microsoft.com/office/drawing/2014/main" id="{F6C9DDC9-5BA9-EE43-8FD8-A90EB1C5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800" y="1028700"/>
          <a:ext cx="10414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292100</xdr:colOff>
      <xdr:row>23</xdr:row>
      <xdr:rowOff>12700</xdr:rowOff>
    </xdr:from>
    <xdr:to>
      <xdr:col>19</xdr:col>
      <xdr:colOff>12700</xdr:colOff>
      <xdr:row>40</xdr:row>
      <xdr:rowOff>38100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E87ED3FF-F297-F944-84CC-4154ED06F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2</xdr:col>
      <xdr:colOff>101600</xdr:colOff>
      <xdr:row>42</xdr:row>
      <xdr:rowOff>25400</xdr:rowOff>
    </xdr:from>
    <xdr:to>
      <xdr:col>21</xdr:col>
      <xdr:colOff>457200</xdr:colOff>
      <xdr:row>61</xdr:row>
      <xdr:rowOff>177800</xdr:rowOff>
    </xdr:to>
    <xdr:pic>
      <xdr:nvPicPr>
        <xdr:cNvPr id="73" name="Picture 72" descr="Moon Phases - Griffith Observatory - Southern California's gateway to the  cosmos!">
          <a:extLst>
            <a:ext uri="{FF2B5EF4-FFF2-40B4-BE49-F238E27FC236}">
              <a16:creationId xmlns:a16="http://schemas.microsoft.com/office/drawing/2014/main" id="{F2D1D434-156D-44D8-F3B4-F18510A4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8204200"/>
          <a:ext cx="8026400" cy="401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76200</xdr:colOff>
      <xdr:row>24</xdr:row>
      <xdr:rowOff>43382</xdr:rowOff>
    </xdr:from>
    <xdr:to>
      <xdr:col>32</xdr:col>
      <xdr:colOff>406400</xdr:colOff>
      <xdr:row>31</xdr:row>
      <xdr:rowOff>173929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A17249E-4CFE-F34D-9B7E-3F3017F7A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547600" y="4869382"/>
          <a:ext cx="3733800" cy="15529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27</xdr:row>
      <xdr:rowOff>139700</xdr:rowOff>
    </xdr:from>
    <xdr:to>
      <xdr:col>10</xdr:col>
      <xdr:colOff>32593</xdr:colOff>
      <xdr:row>86</xdr:row>
      <xdr:rowOff>0</xdr:rowOff>
    </xdr:to>
    <xdr:pic>
      <xdr:nvPicPr>
        <xdr:cNvPr id="3" name="Picture 2" descr="The 8 Phases of the Moon [infographic] | Moon science, Moon infographic,  Moon phases">
          <a:extLst>
            <a:ext uri="{FF2B5EF4-FFF2-40B4-BE49-F238E27FC236}">
              <a16:creationId xmlns:a16="http://schemas.microsoft.com/office/drawing/2014/main" id="{406BC3FE-639A-DC74-F01F-90D907EF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626100"/>
          <a:ext cx="7563693" cy="1184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800100</xdr:colOff>
      <xdr:row>1</xdr:row>
      <xdr:rowOff>63500</xdr:rowOff>
    </xdr:from>
    <xdr:to>
      <xdr:col>10</xdr:col>
      <xdr:colOff>12700</xdr:colOff>
      <xdr:row>27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0D282B-AAE9-4636-B41D-929BF0926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266700"/>
          <a:ext cx="7467600" cy="5334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444500</xdr:colOff>
      <xdr:row>1</xdr:row>
      <xdr:rowOff>50800</xdr:rowOff>
    </xdr:from>
    <xdr:to>
      <xdr:col>19</xdr:col>
      <xdr:colOff>558800</xdr:colOff>
      <xdr:row>24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5C2514-B762-C4F9-F91F-5046A262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500" y="254000"/>
          <a:ext cx="7543800" cy="4660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29A1-A645-9748-8CE6-AFA19E334F6B}">
  <dimension ref="B2:K52"/>
  <sheetViews>
    <sheetView showGridLines="0" tabSelected="1" workbookViewId="0">
      <selection activeCell="L13" sqref="L13"/>
    </sheetView>
  </sheetViews>
  <sheetFormatPr baseColWidth="10" defaultRowHeight="16" x14ac:dyDescent="0.2"/>
  <cols>
    <col min="1" max="1" width="10.83203125" style="117"/>
    <col min="2" max="11" width="11.33203125" style="117" customWidth="1"/>
    <col min="12" max="16384" width="10.83203125" style="117"/>
  </cols>
  <sheetData>
    <row r="2" spans="2:11" ht="15" customHeight="1" x14ac:dyDescent="0.2"/>
    <row r="3" spans="2:11" ht="16" customHeight="1" x14ac:dyDescent="0.2">
      <c r="B3" s="123" t="s">
        <v>75</v>
      </c>
      <c r="C3" s="123"/>
      <c r="D3" s="123"/>
      <c r="E3" s="123"/>
      <c r="F3" s="123"/>
      <c r="G3" s="123"/>
      <c r="H3" s="123"/>
      <c r="I3" s="123"/>
      <c r="J3" s="123"/>
      <c r="K3" s="123"/>
    </row>
    <row r="4" spans="2:11" ht="16" customHeight="1" x14ac:dyDescent="0.2"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2:11" ht="16" customHeight="1" x14ac:dyDescent="0.2"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2:11" ht="16" customHeight="1" x14ac:dyDescent="0.2"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2:11" ht="16" customHeight="1" x14ac:dyDescent="0.2"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2:11" ht="16" customHeight="1" x14ac:dyDescent="0.2"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2:11" ht="16" customHeight="1" x14ac:dyDescent="0.2"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3" spans="2:11" ht="19" x14ac:dyDescent="0.25">
      <c r="D13" s="48" t="s">
        <v>140</v>
      </c>
      <c r="E13" s="49"/>
      <c r="F13" s="50"/>
      <c r="G13" s="50"/>
      <c r="H13" s="50"/>
      <c r="I13" s="51" t="s">
        <v>74</v>
      </c>
    </row>
    <row r="14" spans="2:11" ht="19" x14ac:dyDescent="0.25">
      <c r="D14" s="52"/>
      <c r="E14" s="53"/>
      <c r="F14" s="54"/>
      <c r="G14" s="54"/>
      <c r="H14" s="54"/>
      <c r="I14" s="55"/>
    </row>
    <row r="15" spans="2:11" ht="19" x14ac:dyDescent="0.25">
      <c r="D15" s="56" t="s">
        <v>147</v>
      </c>
      <c r="E15" s="57"/>
      <c r="F15" s="58"/>
      <c r="G15" s="58"/>
      <c r="H15" s="58"/>
      <c r="I15" s="59" t="s">
        <v>146</v>
      </c>
    </row>
    <row r="22" spans="3:3" x14ac:dyDescent="0.2">
      <c r="C22" s="2"/>
    </row>
    <row r="50" spans="2:11" x14ac:dyDescent="0.2">
      <c r="B50" s="124" t="s">
        <v>73</v>
      </c>
      <c r="C50" s="125"/>
      <c r="D50" s="125"/>
      <c r="E50" s="125"/>
      <c r="F50" s="125"/>
      <c r="G50" s="125"/>
      <c r="H50" s="125"/>
      <c r="I50" s="125"/>
      <c r="J50" s="125"/>
      <c r="K50" s="126"/>
    </row>
    <row r="51" spans="2:11" x14ac:dyDescent="0.2">
      <c r="B51" s="127" t="s">
        <v>72</v>
      </c>
      <c r="C51" s="128"/>
      <c r="D51" s="128"/>
      <c r="E51" s="128"/>
      <c r="F51" s="128"/>
      <c r="G51" s="128"/>
      <c r="H51" s="128"/>
      <c r="I51" s="128"/>
      <c r="J51" s="128"/>
      <c r="K51" s="129"/>
    </row>
    <row r="52" spans="2:11" x14ac:dyDescent="0.2">
      <c r="B52" s="130" t="s">
        <v>71</v>
      </c>
      <c r="C52" s="131"/>
      <c r="D52" s="131"/>
      <c r="E52" s="131"/>
      <c r="F52" s="131"/>
      <c r="G52" s="131"/>
      <c r="H52" s="131"/>
      <c r="I52" s="131"/>
      <c r="J52" s="131"/>
      <c r="K52" s="132"/>
    </row>
  </sheetData>
  <sheetProtection sheet="1" objects="1" scenarios="1"/>
  <mergeCells count="4">
    <mergeCell ref="B3:K9"/>
    <mergeCell ref="B50:K50"/>
    <mergeCell ref="B51:K51"/>
    <mergeCell ref="B52:K52"/>
  </mergeCells>
  <hyperlinks>
    <hyperlink ref="I13" r:id="rId1" xr:uid="{90E4F950-9367-B349-8B4D-872BF42B2581}"/>
    <hyperlink ref="B50" r:id="rId2" display="http://www.astronomy-morsels.ch/" xr:uid="{5C22362B-7907-4143-82D4-173FB51A49C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4744-21B3-1046-B26D-B52747C07285}">
  <sheetPr>
    <pageSetUpPr fitToPage="1"/>
  </sheetPr>
  <dimension ref="B2:AL151"/>
  <sheetViews>
    <sheetView showGridLines="0" topLeftCell="A18" zoomScaleNormal="100" workbookViewId="0">
      <selection activeCell="E30" sqref="E30"/>
    </sheetView>
  </sheetViews>
  <sheetFormatPr baseColWidth="10" defaultColWidth="7.6640625" defaultRowHeight="12" x14ac:dyDescent="0.15"/>
  <cols>
    <col min="1" max="1" width="2" style="1" customWidth="1"/>
    <col min="2" max="17" width="4" style="1" customWidth="1"/>
    <col min="18" max="18" width="1.5" style="1" customWidth="1"/>
    <col min="19" max="19" width="15.83203125" style="1" customWidth="1"/>
    <col min="20" max="21" width="11.6640625" style="3" customWidth="1"/>
    <col min="22" max="22" width="11.6640625" style="1" customWidth="1"/>
    <col min="23" max="23" width="7.6640625" style="1"/>
    <col min="24" max="24" width="3" style="2" customWidth="1"/>
    <col min="25" max="25" width="7.6640625" style="1"/>
    <col min="26" max="26" width="11.83203125" style="1" customWidth="1"/>
    <col min="27" max="27" width="11.1640625" style="1" customWidth="1"/>
    <col min="28" max="28" width="4" style="1" customWidth="1"/>
    <col min="29" max="38" width="11.1640625" style="1" customWidth="1"/>
    <col min="39" max="16384" width="7.6640625" style="1"/>
  </cols>
  <sheetData>
    <row r="2" spans="2:38" ht="16" customHeight="1" x14ac:dyDescent="0.2">
      <c r="B2" s="28"/>
      <c r="C2" s="28"/>
      <c r="D2" s="28"/>
      <c r="E2" s="135" t="s">
        <v>24</v>
      </c>
      <c r="F2" s="135"/>
      <c r="G2" s="135"/>
    </row>
    <row r="3" spans="2:38" ht="16" customHeight="1" x14ac:dyDescent="0.2">
      <c r="B3" s="136" t="s">
        <v>48</v>
      </c>
      <c r="C3" s="136"/>
      <c r="D3" s="136"/>
      <c r="E3" s="137">
        <v>45479</v>
      </c>
      <c r="F3" s="137"/>
      <c r="G3" s="137"/>
    </row>
    <row r="4" spans="2:38" ht="16" customHeight="1" x14ac:dyDescent="0.2">
      <c r="B4" s="136" t="s">
        <v>0</v>
      </c>
      <c r="C4" s="136"/>
      <c r="D4" s="136"/>
      <c r="E4" s="143">
        <f>YEAR(E3)</f>
        <v>2024</v>
      </c>
      <c r="F4" s="143"/>
      <c r="G4" s="143"/>
      <c r="H4" s="19">
        <f>VALUE(Year)</f>
        <v>2024</v>
      </c>
      <c r="I4" s="18"/>
      <c r="J4" s="18"/>
      <c r="K4" s="18"/>
      <c r="L4" s="18"/>
      <c r="M4" s="18"/>
      <c r="N4" s="18"/>
      <c r="O4" s="18"/>
      <c r="P4" s="18"/>
      <c r="Q4" s="18"/>
    </row>
    <row r="5" spans="2:38" ht="16" customHeight="1" x14ac:dyDescent="0.15">
      <c r="B5" s="136" t="s">
        <v>1</v>
      </c>
      <c r="C5" s="136"/>
      <c r="D5" s="136"/>
      <c r="E5" s="154" t="str">
        <f>VLOOKUP(MONTH(E3),Calculations!B367:C378,2,FALSE)</f>
        <v>July</v>
      </c>
      <c r="F5" s="154"/>
      <c r="G5" s="154"/>
      <c r="H5" s="8">
        <f>VLOOKUP(Month,Calculations!C367:D378,2,FALSE)</f>
        <v>7</v>
      </c>
      <c r="I5" s="3"/>
      <c r="J5" s="3"/>
      <c r="K5" s="3"/>
      <c r="L5" s="3"/>
      <c r="M5" s="3"/>
      <c r="N5" s="3"/>
      <c r="O5" s="3"/>
      <c r="P5" s="3"/>
      <c r="Q5" s="3"/>
    </row>
    <row r="6" spans="2:38" ht="16" customHeight="1" x14ac:dyDescent="0.15"/>
    <row r="7" spans="2:38" ht="16" customHeight="1" x14ac:dyDescent="0.25">
      <c r="B7" s="150">
        <f>IF(Month="December",Year&amp;" - "&amp;Year+1,Year)</f>
        <v>2024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2"/>
      <c r="Z7" s="133" t="s">
        <v>136</v>
      </c>
      <c r="AA7" s="134"/>
      <c r="AB7" s="8"/>
      <c r="AC7" s="133" t="s">
        <v>77</v>
      </c>
      <c r="AD7" s="134"/>
      <c r="AE7" s="133" t="s">
        <v>82</v>
      </c>
      <c r="AF7" s="134"/>
      <c r="AG7" s="133" t="s">
        <v>80</v>
      </c>
      <c r="AH7" s="134"/>
      <c r="AI7" s="133" t="s">
        <v>94</v>
      </c>
      <c r="AJ7" s="134"/>
      <c r="AK7" s="133" t="s">
        <v>77</v>
      </c>
      <c r="AL7" s="134"/>
    </row>
    <row r="8" spans="2:38" ht="16" customHeight="1" x14ac:dyDescent="0.25"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7"/>
      <c r="S8" s="17"/>
      <c r="T8" s="17"/>
      <c r="U8" s="17"/>
      <c r="V8" s="16"/>
      <c r="Z8" s="12" t="s">
        <v>48</v>
      </c>
      <c r="AA8" s="15">
        <f>DATE(H4,H5,1)</f>
        <v>45474</v>
      </c>
      <c r="AC8" s="12" t="s">
        <v>48</v>
      </c>
      <c r="AD8" s="15">
        <f>DATE(Calculations!G325,Calculations!G326,Calculations!G327)</f>
        <v>45478</v>
      </c>
      <c r="AE8" s="12" t="s">
        <v>48</v>
      </c>
      <c r="AF8" s="15">
        <f>DATE(Calculations!I325,Calculations!I326,Calculations!I327)</f>
        <v>45486</v>
      </c>
      <c r="AG8" s="12" t="s">
        <v>48</v>
      </c>
      <c r="AH8" s="15">
        <f>DATE(Calculations!K325,Calculations!K326,Calculations!K327)</f>
        <v>45494</v>
      </c>
      <c r="AI8" s="12" t="s">
        <v>48</v>
      </c>
      <c r="AJ8" s="15">
        <f>DATE(Calculations!M325,Calculations!M326,Calculations!M327)</f>
        <v>45501</v>
      </c>
      <c r="AK8" s="12" t="s">
        <v>48</v>
      </c>
      <c r="AL8" s="15">
        <f>DATE(Calculations!O325,Calculations!O326,Calculations!O327)</f>
        <v>45508</v>
      </c>
    </row>
    <row r="9" spans="2:38" ht="16" customHeight="1" thickBot="1" x14ac:dyDescent="0.2"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Z9" s="12" t="s">
        <v>93</v>
      </c>
      <c r="AA9" s="14">
        <v>0.5</v>
      </c>
      <c r="AC9" s="12" t="s">
        <v>93</v>
      </c>
      <c r="AD9" s="14">
        <f>TIME(Calculations!G328,Calculations!G329,Calculations!G330)</f>
        <v>0.95729166666666665</v>
      </c>
      <c r="AE9" s="12" t="s">
        <v>93</v>
      </c>
      <c r="AF9" s="14">
        <f>TIME(Calculations!I328,Calculations!I329,Calculations!I330)</f>
        <v>0.95125000000000004</v>
      </c>
      <c r="AG9" s="12" t="s">
        <v>93</v>
      </c>
      <c r="AH9" s="14">
        <f>TIME(Calculations!K328,Calculations!K329,Calculations!K330)</f>
        <v>0.42934027777777778</v>
      </c>
      <c r="AI9" s="12" t="s">
        <v>93</v>
      </c>
      <c r="AJ9" s="14">
        <f>TIME(Calculations!M328,Calculations!M329,Calculations!M330)</f>
        <v>0.11997685185185185</v>
      </c>
      <c r="AK9" s="12" t="s">
        <v>93</v>
      </c>
      <c r="AL9" s="14">
        <f>TIME(Calculations!O328,Calculations!O329,Calculations!O330)</f>
        <v>0.46815972222222224</v>
      </c>
    </row>
    <row r="10" spans="2:38" ht="16" customHeight="1" thickBot="1" x14ac:dyDescent="0.25">
      <c r="B10" s="144" t="str">
        <f>Month&amp;" "&amp;Year</f>
        <v>July 2024</v>
      </c>
      <c r="C10" s="145"/>
      <c r="D10" s="145"/>
      <c r="E10" s="145"/>
      <c r="F10" s="145"/>
      <c r="G10" s="145"/>
      <c r="H10" s="146"/>
      <c r="I10" s="29"/>
      <c r="J10" s="147">
        <f>DATE(YEAR(B10),MONTH(B10)+1,1)</f>
        <v>45505</v>
      </c>
      <c r="K10" s="148"/>
      <c r="L10" s="148"/>
      <c r="M10" s="148"/>
      <c r="N10" s="148"/>
      <c r="O10" s="148"/>
      <c r="P10" s="149"/>
      <c r="Q10" s="5"/>
      <c r="S10" s="39" t="s">
        <v>92</v>
      </c>
      <c r="T10" s="39" t="s">
        <v>48</v>
      </c>
      <c r="U10" s="39" t="s">
        <v>91</v>
      </c>
      <c r="V10" s="39" t="s">
        <v>49</v>
      </c>
      <c r="Z10" s="12" t="s">
        <v>91</v>
      </c>
      <c r="AA10" s="11" t="str">
        <f>IF(AA14=0,"Sunday",IF(AA14=1,"Monday",IF(AA14=2,"Tuesday",IF(AA14=3,"Wednesday",IF(AA14=4,"Thursday",IF(AA14=5,"Friday","Saturday"))))))</f>
        <v>Monday</v>
      </c>
      <c r="AC10" s="12" t="s">
        <v>91</v>
      </c>
      <c r="AD10" s="11" t="str">
        <f>IF(AD14=0,"Sunday",IF(AD14=1,"Monday",IF(AD14=2,"Tuesday",IF(AD14=3,"Wednesday",IF(AD14=4,"Thursday",IF(AD14=5,"Friday","Saturday"))))))</f>
        <v>Friday</v>
      </c>
      <c r="AE10" s="12" t="s">
        <v>91</v>
      </c>
      <c r="AF10" s="11" t="str">
        <f>IF(AF14=0,"Sunday",IF(AF14=1,"Monday",IF(AF14=2,"Tuesday",IF(AF14=3,"Wednesday",IF(AF14=4,"Thursday",IF(AF14=5,"Friday","Saturday"))))))</f>
        <v>Saturday</v>
      </c>
      <c r="AG10" s="12" t="s">
        <v>91</v>
      </c>
      <c r="AH10" s="11" t="str">
        <f>IF(AH14=0,"Sunday",IF(AH14=1,"Monday",IF(AH14=2,"Tuesday",IF(AH14=3,"Wednesday",IF(AH14=4,"Thursday",IF(AH14=5,"Friday","Saturday"))))))</f>
        <v>Sunday</v>
      </c>
      <c r="AI10" s="12" t="s">
        <v>91</v>
      </c>
      <c r="AJ10" s="11" t="str">
        <f>IF(AJ14=0,"Sunday",IF(AJ14=1,"Monday",IF(AJ14=2,"Tuesday",IF(AJ14=3,"Wednesday",IF(AJ14=4,"Thursday",IF(AJ14=5,"Friday","Saturday"))))))</f>
        <v>Sunday</v>
      </c>
      <c r="AK10" s="12" t="s">
        <v>91</v>
      </c>
      <c r="AL10" s="11" t="str">
        <f>IF(AL14=0,"Sunday",IF(AL14=1,"Monday",IF(AL14=2,"Tuesday",IF(AL14=3,"Wednesday",IF(AL14=4,"Thursday",IF(AL14=5,"Friday","Saturday"))))))</f>
        <v>Sunday</v>
      </c>
    </row>
    <row r="11" spans="2:38" ht="16" customHeight="1" x14ac:dyDescent="0.2">
      <c r="B11" s="45" t="s">
        <v>10</v>
      </c>
      <c r="C11" s="46" t="s">
        <v>90</v>
      </c>
      <c r="D11" s="46" t="s">
        <v>89</v>
      </c>
      <c r="E11" s="46" t="s">
        <v>88</v>
      </c>
      <c r="F11" s="46" t="s">
        <v>87</v>
      </c>
      <c r="G11" s="46" t="s">
        <v>86</v>
      </c>
      <c r="H11" s="47" t="s">
        <v>85</v>
      </c>
      <c r="I11" s="29"/>
      <c r="J11" s="45" t="s">
        <v>10</v>
      </c>
      <c r="K11" s="46" t="s">
        <v>90</v>
      </c>
      <c r="L11" s="46" t="s">
        <v>89</v>
      </c>
      <c r="M11" s="46" t="s">
        <v>88</v>
      </c>
      <c r="N11" s="46" t="s">
        <v>87</v>
      </c>
      <c r="O11" s="46" t="s">
        <v>86</v>
      </c>
      <c r="P11" s="47" t="s">
        <v>85</v>
      </c>
      <c r="Q11" s="5"/>
      <c r="S11" s="40" t="s">
        <v>77</v>
      </c>
      <c r="T11" s="60">
        <f>AD8</f>
        <v>45478</v>
      </c>
      <c r="U11" s="60" t="str">
        <f>AD10</f>
        <v>Friday</v>
      </c>
      <c r="V11" s="61">
        <f>AD9</f>
        <v>0.95729166666666665</v>
      </c>
      <c r="Z11" s="12" t="s">
        <v>84</v>
      </c>
      <c r="AA11" s="13">
        <f>Calculations!C341</f>
        <v>2460493</v>
      </c>
      <c r="AC11" s="12" t="s">
        <v>83</v>
      </c>
      <c r="AD11" s="13">
        <f>Calculations!G323</f>
        <v>2460497.4572961209</v>
      </c>
      <c r="AE11" s="12" t="s">
        <v>83</v>
      </c>
      <c r="AF11" s="13">
        <f>Calculations!I323</f>
        <v>2460505.4512502346</v>
      </c>
      <c r="AG11" s="12" t="s">
        <v>83</v>
      </c>
      <c r="AH11" s="13">
        <f>Calculations!K323</f>
        <v>2460512.9293366508</v>
      </c>
      <c r="AI11" s="12" t="s">
        <v>83</v>
      </c>
      <c r="AJ11" s="13">
        <f>Calculations!M323</f>
        <v>2460519.6199821285</v>
      </c>
      <c r="AK11" s="12" t="s">
        <v>83</v>
      </c>
      <c r="AL11" s="13">
        <f>Calculations!O323</f>
        <v>2460526.9681622335</v>
      </c>
    </row>
    <row r="12" spans="2:38" ht="16" customHeight="1" x14ac:dyDescent="0.2">
      <c r="B12" s="30">
        <f>IF(VLOOKUP(B$11,Calculations!$F$367:$G$373,2,FALSE)=WEEKDAY(DATE(YEAR(B$10),MONTH($B$10),1)),1,0)</f>
        <v>0</v>
      </c>
      <c r="C12" s="31">
        <f>IF(DAY(EOMONTH(DATE(YEAR($B$10),MONTH($B$10),1),0))&gt;IF(B12&gt;=1,B12,IF(VLOOKUP(C$11,Calculations!$F$367:$G$373,2,FALSE)=WEEKDAY(DATE(YEAR($B$10),MONTH($B$10),1)),1,0)),IF(B12&gt;=1,B12+1,IF(VLOOKUP(C$11,Calculations!$F$367:$G$373,2,FALSE)=WEEKDAY(DATE(YEAR($B$10),MONTH($B$10),1)),1,0)),0)</f>
        <v>1</v>
      </c>
      <c r="D12" s="31">
        <f>IF(DAY(EOMONTH(DATE(YEAR($B$10),MONTH($B$10),1),0))&gt;IF(C12&gt;=1,C12,IF(VLOOKUP(D$11,Calculations!$F$367:$G$373,2,FALSE)=WEEKDAY(DATE(YEAR($B$10),MONTH($B$10),1)),1,0)),IF(C12&gt;=1,C12+1,IF(VLOOKUP(D$11,Calculations!$F$367:$G$373,2,FALSE)=WEEKDAY(DATE(YEAR($B$10),MONTH($B$10),1)),1,0)),0)</f>
        <v>2</v>
      </c>
      <c r="E12" s="31">
        <f>IF(DAY(EOMONTH(DATE(YEAR($B$10),MONTH($B$10),1),0))&gt;IF(D12&gt;=1,D12,IF(VLOOKUP(E$11,Calculations!$F$367:$G$373,2,FALSE)=WEEKDAY(DATE(YEAR($B$10),MONTH($B$10),1)),1,0)),IF(D12&gt;=1,D12+1,IF(VLOOKUP(E$11,Calculations!$F$367:$G$373,2,FALSE)=WEEKDAY(DATE(YEAR($B$10),MONTH($B$10),1)),1,0)),0)</f>
        <v>3</v>
      </c>
      <c r="F12" s="31">
        <f>IF(DAY(EOMONTH(DATE(YEAR($B$10),MONTH($B$10),1),0))&gt;IF(E12&gt;=1,E12,IF(VLOOKUP(F$11,Calculations!$F$367:$G$373,2,FALSE)=WEEKDAY(DATE(YEAR($B$10),MONTH($B$10),1)),1,0)),IF(E12&gt;=1,E12+1,IF(VLOOKUP(F$11,Calculations!$F$367:$G$373,2,FALSE)=WEEKDAY(DATE(YEAR($B$10),MONTH($B$10),1)),1,0)),0)</f>
        <v>4</v>
      </c>
      <c r="G12" s="31">
        <f>IF(DAY(EOMONTH(DATE(YEAR($B$10),MONTH($B$10),1),0))&gt;IF(F12&gt;=1,F12,IF(VLOOKUP(G$11,Calculations!$F$367:$G$373,2,FALSE)=WEEKDAY(DATE(YEAR($B$10),MONTH($B$10),1)),1,0)),IF(F12&gt;=1,F12+1,IF(VLOOKUP(G$11,Calculations!$F$367:$G$373,2,FALSE)=WEEKDAY(DATE(YEAR($B$10),MONTH($B$10),1)),1,0)),0)</f>
        <v>5</v>
      </c>
      <c r="H12" s="32">
        <f>IF(DAY(EOMONTH(DATE(YEAR($B$10),MONTH($B$10),1),0))&gt;IF(G12&gt;=1,G12,IF(VLOOKUP(H$11,Calculations!$F$367:$G$373,2,FALSE)=WEEKDAY(DATE(YEAR($B$10),MONTH($B$10),1)),1,0)),IF(G12&gt;=1,G12+1,IF(VLOOKUP(H$11,Calculations!$F$367:$G$373,2,FALSE)=WEEKDAY(DATE(YEAR($B$10),MONTH($B$10),1)),1,0)),0)</f>
        <v>6</v>
      </c>
      <c r="I12" s="29"/>
      <c r="J12" s="30">
        <f>IF(VLOOKUP(J$11,Calculations!$F$367:$G$373,2,FALSE)=WEEKDAY(DATE(YEAR(J$10),MONTH($J$10),1)),1,0)</f>
        <v>0</v>
      </c>
      <c r="K12" s="31">
        <f>IF(DAY(EOMONTH(DATE(YEAR($J$10),MONTH($J$10),1),0))&gt;IF(J12&gt;=1,J12,IF(VLOOKUP(K$11,Calculations!$F$367:$G$373,2,FALSE)=WEEKDAY(DATE(YEAR($J$10),MONTH($J$10),1)),1,0)),IF(J12&gt;=1,J12+1,IF(VLOOKUP(K$11,Calculations!$F$367:$G$373,2,FALSE)=WEEKDAY(DATE(YEAR($J$10),MONTH($J$10),1)),1,0)),0)</f>
        <v>0</v>
      </c>
      <c r="L12" s="31">
        <f>IF(DAY(EOMONTH(DATE(YEAR($J$10),MONTH($J$10),1),0))&gt;IF(K12&gt;=1,K12,IF(VLOOKUP(L$11,Calculations!$F$367:$G$373,2,FALSE)=WEEKDAY(DATE(YEAR($J$10),MONTH($J$10),1)),1,0)),IF(K12&gt;=1,K12+1,IF(VLOOKUP(L$11,Calculations!$F$367:$G$373,2,FALSE)=WEEKDAY(DATE(YEAR($J$10),MONTH($J$10),1)),1,0)),0)</f>
        <v>0</v>
      </c>
      <c r="M12" s="31">
        <f>IF(DAY(EOMONTH(DATE(YEAR($J$10),MONTH($J$10),1),0))&gt;IF(L12&gt;=1,L12,IF(VLOOKUP(M$11,Calculations!$F$367:$G$373,2,FALSE)=WEEKDAY(DATE(YEAR($J$10),MONTH($J$10),1)),1,0)),IF(L12&gt;=1,L12+1,IF(VLOOKUP(M$11,Calculations!$F$367:$G$373,2,FALSE)=WEEKDAY(DATE(YEAR($J$10),MONTH($J$10),1)),1,0)),0)</f>
        <v>0</v>
      </c>
      <c r="N12" s="31">
        <f>IF(DAY(EOMONTH(DATE(YEAR($J$10),MONTH($J$10),1),0))&gt;IF(M12&gt;=1,M12,IF(VLOOKUP(N$11,Calculations!$F$367:$G$373,2,FALSE)=WEEKDAY(DATE(YEAR($J$10),MONTH($J$10),1)),1,0)),IF(M12&gt;=1,M12+1,IF(VLOOKUP(N$11,Calculations!$F$367:$G$373,2,FALSE)=WEEKDAY(DATE(YEAR($J$10),MONTH($J$10),1)),1,0)),0)</f>
        <v>1</v>
      </c>
      <c r="O12" s="31">
        <f>IF(DAY(EOMONTH(DATE(YEAR($J$10),MONTH($J$10),1),0))&gt;IF(N12&gt;=1,N12,IF(VLOOKUP(O$11,Calculations!$F$367:$G$373,2,FALSE)=WEEKDAY(DATE(YEAR($J$10),MONTH($J$10),1)),1,0)),IF(N12&gt;=1,N12+1,IF(VLOOKUP(O$11,Calculations!$F$367:$G$373,2,FALSE)=WEEKDAY(DATE(YEAR($J$10),MONTH($J$10),1)),1,0)),0)</f>
        <v>2</v>
      </c>
      <c r="P12" s="32">
        <f>IF(DAY(EOMONTH(DATE(YEAR($J$10),MONTH($J$10),1),0))&gt;IF(O12&gt;=1,O12,IF(VLOOKUP(P$11,Calculations!$F$367:$G$373,2,FALSE)=WEEKDAY(DATE(YEAR($J$10),MONTH($J$10),1)),1,0)),IF(O12&gt;=1,O12+1,IF(VLOOKUP(P$11,Calculations!$F$367:$G$373,2,FALSE)=WEEKDAY(DATE(YEAR($J$10),MONTH($J$10),1)),1,0)),0)</f>
        <v>3</v>
      </c>
      <c r="Q12" s="5"/>
      <c r="S12" s="41" t="s">
        <v>82</v>
      </c>
      <c r="T12" s="60">
        <f>AF8</f>
        <v>45486</v>
      </c>
      <c r="U12" s="60" t="str">
        <f>AF10</f>
        <v>Saturday</v>
      </c>
      <c r="V12" s="61">
        <f>AF9</f>
        <v>0.95125000000000004</v>
      </c>
      <c r="Z12" s="12" t="s">
        <v>81</v>
      </c>
      <c r="AA12" s="11" t="str">
        <f>IF(MOD(YEAR(AA8),4)=0,IF(MOD(YEAR(AA8),400)&gt;0,"Yes","No"),"No")</f>
        <v>Yes</v>
      </c>
      <c r="AC12" s="12" t="s">
        <v>81</v>
      </c>
      <c r="AD12" s="11" t="str">
        <f>IF(MOD(YEAR(AD8),4)=0,IF(MOD(YEAR(AD8),400)&gt;0,"Yes","No"),"No")</f>
        <v>Yes</v>
      </c>
      <c r="AE12" s="12" t="s">
        <v>81</v>
      </c>
      <c r="AF12" s="11" t="str">
        <f>IF(MOD(YEAR(AF8),4)=0,IF(MOD(YEAR(AF8),400)&gt;0,"Yes","No"),"No")</f>
        <v>Yes</v>
      </c>
      <c r="AG12" s="12" t="s">
        <v>81</v>
      </c>
      <c r="AH12" s="11" t="str">
        <f>IF(MOD(YEAR(AH8),4)=0,IF(MOD(YEAR(AH8),400)&gt;0,"Yes","No"),"No")</f>
        <v>Yes</v>
      </c>
      <c r="AI12" s="12" t="s">
        <v>81</v>
      </c>
      <c r="AJ12" s="11" t="str">
        <f>IF(MOD(YEAR(AJ8),4)=0,IF(MOD(YEAR(AJ8),400)&gt;0,"Yes","No"),"No")</f>
        <v>Yes</v>
      </c>
      <c r="AK12" s="12" t="s">
        <v>81</v>
      </c>
      <c r="AL12" s="11" t="str">
        <f>IF(MOD(YEAR(AL8),4)=0,IF(MOD(YEAR(AL8),400)&gt;0,"Yes","No"),"No")</f>
        <v>Yes</v>
      </c>
    </row>
    <row r="13" spans="2:38" ht="16" customHeight="1" x14ac:dyDescent="0.2">
      <c r="B13" s="33">
        <f>IF(IF(DAY(EOMONTH(DATE(YEAR($B$10),MONTH($B$10),1),0))&gt;IF(H12&gt;=1,H12,IF(VLOOKUP(B$11,Calculations!$F$367:$G$373,2,FALSE)=WEEKDAY(DATE(YEAR($B$10),MONTH($B$10),1)),1,0)),IF(H12&gt;=1,H12+1,IF(VLOOKUP(B$11,Calculations!$F$367:$G$373,2,FALSE)=WEEKDAY(DATE(Year,MONTH($B$10),1)),1,0)),0)&lt;B$12,0,IF(DAY(EOMONTH(DATE(YEAR($B$10),MONTH($B$10),1),0))&gt;IF(H12&gt;=1,H12,IF(VLOOKUP(B$11,Calculations!$F$367:$G$373,2,FALSE)=WEEKDAY(DATE(YEAR($B$10),MONTH($B$10),1)),1,0)),IF(H12&gt;=1,H12+1,IF(VLOOKUP(B$11,Calculations!$F$367:$G$373,2,FALSE)=WEEKDAY(DATE(YEAR($B$10),MONTH($B$10),1)),1,0)),0))</f>
        <v>7</v>
      </c>
      <c r="C13" s="34">
        <f>IF(IF(DAY(EOMONTH(DATE(Year,MONTH($B$10),1),0))&gt;IF(B13&gt;=1,B13,IF(VLOOKUP(C$11,Calculations!$F$367:$G$373,2,FALSE)=WEEKDAY(DATE(Year,MONTH($B$10),1)),1,0)),IF(B13&gt;=1,B13+1,IF(VLOOKUP(C$11,Calculations!$F$367:$G$373,2,FALSE)=WEEKDAY(DATE(Year,MONTH($B$10),1)),1,0)),0)&lt;C12,0,IF(DAY(EOMONTH(DATE(Year,MONTH($B$10),1),0))&gt;IF(B13&gt;=1,B13,IF(VLOOKUP(C$11,Calculations!$F$367:$G$373,2,FALSE)=WEEKDAY(DATE(Year,MONTH($B$10),1)),1,0)),IF(B13&gt;=1,B13+1,IF(VLOOKUP(C$11,Calculations!$F$367:$G$373,2,FALSE)=WEEKDAY(DATE(Year,MONTH($B$10),1)),1,0)),0))</f>
        <v>8</v>
      </c>
      <c r="D13" s="34">
        <f>IF(IF(DAY(EOMONTH(DATE(Year,MONTH($B$10),1),0))&gt;IF(C13&gt;=1,C13,IF(VLOOKUP(D$11,Calculations!$F$367:$G$373,2,FALSE)=WEEKDAY(DATE(Year,MONTH($B$10),1)),1,0)),IF(C13&gt;=1,C13+1,IF(VLOOKUP(D$11,Calculations!$F$367:$G$373,2,FALSE)=WEEKDAY(DATE(Year,MONTH($B$10),1)),1,0)),0)&lt;D12,0,IF(DAY(EOMONTH(DATE(Year,MONTH($B$10),1),0))&gt;IF(C13&gt;=1,C13,IF(VLOOKUP(D$11,Calculations!$F$367:$G$373,2,FALSE)=WEEKDAY(DATE(Year,MONTH($B$10),1)),1,0)),IF(C13&gt;=1,C13+1,IF(VLOOKUP(D$11,Calculations!$F$367:$G$373,2,FALSE)=WEEKDAY(DATE(Year,MONTH($B$10),1)),1,0)),0))</f>
        <v>9</v>
      </c>
      <c r="E13" s="34">
        <f>IF(IF(DAY(EOMONTH(DATE(Year,MONTH($B$10),1),0))&gt;IF(D13&gt;=1,D13,IF(VLOOKUP(E$11,Calculations!$F$367:$G$373,2,FALSE)=WEEKDAY(DATE(Year,MONTH($B$10),1)),1,0)),IF(D13&gt;=1,D13+1,IF(VLOOKUP(E$11,Calculations!$F$367:$G$373,2,FALSE)=WEEKDAY(DATE(Year,MONTH($B$10),1)),1,0)),0)&lt;E12,0,IF(DAY(EOMONTH(DATE(Year,MONTH($B$10),1),0))&gt;IF(D13&gt;=1,D13,IF(VLOOKUP(E$11,Calculations!$F$367:$G$373,2,FALSE)=WEEKDAY(DATE(Year,MONTH($B$10),1)),1,0)),IF(D13&gt;=1,D13+1,IF(VLOOKUP(E$11,Calculations!$F$367:$G$373,2,FALSE)=WEEKDAY(DATE(Year,MONTH($B$10),1)),1,0)),0))</f>
        <v>10</v>
      </c>
      <c r="F13" s="34">
        <f>IF(IF(DAY(EOMONTH(DATE(Year,MONTH($B$10),1),0))&gt;IF(E13&gt;=1,E13,IF(VLOOKUP(F$11,Calculations!$F$367:$G$373,2,FALSE)=WEEKDAY(DATE(Year,MONTH($B$10),1)),1,0)),IF(E13&gt;=1,E13+1,IF(VLOOKUP(F$11,Calculations!$F$367:$G$373,2,FALSE)=WEEKDAY(DATE(Year,MONTH($B$10),1)),1,0)),0)&lt;F12,0,IF(DAY(EOMONTH(DATE(Year,MONTH($B$10),1),0))&gt;IF(E13&gt;=1,E13,IF(VLOOKUP(F$11,Calculations!$F$367:$G$373,2,FALSE)=WEEKDAY(DATE(Year,MONTH($B$10),1)),1,0)),IF(E13&gt;=1,E13+1,IF(VLOOKUP(F$11,Calculations!$F$367:$G$373,2,FALSE)=WEEKDAY(DATE(Year,MONTH($B$10),1)),1,0)),0))</f>
        <v>11</v>
      </c>
      <c r="G13" s="34">
        <f>IF(IF(DAY(EOMONTH(DATE(Year,MONTH($B$10),1),0))&gt;IF(F13&gt;=1,F13,IF(VLOOKUP(G$11,Calculations!$F$367:$G$373,2,FALSE)=WEEKDAY(DATE(Year,MONTH($B$10),1)),1,0)),IF(F13&gt;=1,F13+1,IF(VLOOKUP(G$11,Calculations!$F$367:$G$373,2,FALSE)=WEEKDAY(DATE(Year,MONTH($B$10),1)),1,0)),0)&lt;G12,0,IF(DAY(EOMONTH(DATE(Year,MONTH($B$10),1),0))&gt;IF(F13&gt;=1,F13,IF(VLOOKUP(G$11,Calculations!$F$367:$G$373,2,FALSE)=WEEKDAY(DATE(Year,MONTH($B$10),1)),1,0)),IF(F13&gt;=1,F13+1,IF(VLOOKUP(G$11,Calculations!$F$367:$G$373,2,FALSE)=WEEKDAY(DATE(Year,MONTH($B$10),1)),1,0)),0))</f>
        <v>12</v>
      </c>
      <c r="H13" s="35">
        <f>IF(IF(DAY(EOMONTH(DATE(Year,MONTH($B$10),1),0))&gt;IF(G13&gt;=1,G13,IF(VLOOKUP(H$11,Calculations!$F$367:$G$373,2,FALSE)=WEEKDAY(DATE(Year,MONTH($B$10),1)),1,0)),IF(G13&gt;=1,G13+1,IF(VLOOKUP(H$11,Calculations!$F$367:$G$373,2,FALSE)=WEEKDAY(DATE(Year,MONTH($B$10),1)),1,0)),0)&lt;H12,0,IF(DAY(EOMONTH(DATE(Year,MONTH($B$10),1),0))&gt;IF(G13&gt;=1,G13,IF(VLOOKUP(H$11,Calculations!$F$367:$G$373,2,FALSE)=WEEKDAY(DATE(Year,MONTH($B$10),1)),1,0)),IF(G13&gt;=1,G13+1,IF(VLOOKUP(H$11,Calculations!$F$367:$G$373,2,FALSE)=WEEKDAY(DATE(Year,MONTH($B$10),1)),1,0)),0))</f>
        <v>13</v>
      </c>
      <c r="I13" s="29"/>
      <c r="J13" s="33">
        <f>IF(IF(DAY(EOMONTH(DATE(YEAR($J$10),MONTH($J$10),1),0))&gt;IF(P12&gt;=1,P12,IF(VLOOKUP(J$11,Calculations!$F$367:$G$373,2,FALSE)=WEEKDAY(DATE(YEAR($J$10),MONTH($J$10),1)),1,0)),IF(P12&gt;=1,P12+1,IF(VLOOKUP(J$11,Calculations!$F$367:$G$373,2,FALSE)=WEEKDAY(DATE(Year,MONTH($J$10),1)),1,0)),0)&lt;J12,0,IF(DAY(EOMONTH(DATE(YEAR($J$10),MONTH($J$10),1),0))&gt;IF(P12&gt;=1,P12,IF(VLOOKUP(J$11,Calculations!$F$367:$G$373,2,FALSE)=WEEKDAY(DATE(YEAR($J$10),MONTH($J$10),1)),1,0)),IF(P12&gt;=1,P12+1,IF(VLOOKUP(J$11,Calculations!$F$367:$G$373,2,FALSE)=WEEKDAY(DATE(YEAR($J$10),MONTH($J$10),1)),1,0)),0))</f>
        <v>4</v>
      </c>
      <c r="K13" s="34">
        <f>IF(IF(DAY(EOMONTH(DATE(Year,MONTH($J$10),1),0))&gt;IF(J13&gt;=1,J13,IF(VLOOKUP(K$11,Calculations!$F$367:$G$373,2,FALSE)=WEEKDAY(DATE(Year,MONTH($J$10),1)),1,0)),IF(J13&gt;=1,J13+1,IF(VLOOKUP(K$11,Calculations!$F$367:$G$373,2,FALSE)=WEEKDAY(DATE(Year,MONTH($J$10),1)),1,0)),0)&lt;K12,0,IF(DAY(EOMONTH(DATE(Year,MONTH($J$10),1),0))&gt;IF(J13&gt;=1,J13,IF(VLOOKUP(K$11,Calculations!$F$367:$G$373,2,FALSE)=WEEKDAY(DATE(Year,MONTH($J$10),1)),1,0)),IF(J13&gt;=1,J13+1,IF(VLOOKUP(K$11,Calculations!$F$367:$G$373,2,FALSE)=WEEKDAY(DATE(Year,MONTH($J$10),1)),1,0)),0))</f>
        <v>5</v>
      </c>
      <c r="L13" s="34">
        <f>IF(IF(DAY(EOMONTH(DATE(Year,MONTH($J$10),1),0))&gt;IF(K13&gt;=1,K13,IF(VLOOKUP(L$11,Calculations!$F$367:$G$373,2,FALSE)=WEEKDAY(DATE(Year,MONTH($J$10),1)),1,0)),IF(K13&gt;=1,K13+1,IF(VLOOKUP(L$11,Calculations!$F$367:$G$373,2,FALSE)=WEEKDAY(DATE(Year,MONTH($J$10),1)),1,0)),0)&lt;L12,0,IF(DAY(EOMONTH(DATE(Year,MONTH($J$10),1),0))&gt;IF(K13&gt;=1,K13,IF(VLOOKUP(L$11,Calculations!$F$367:$G$373,2,FALSE)=WEEKDAY(DATE(Year,MONTH($J$10),1)),1,0)),IF(K13&gt;=1,K13+1,IF(VLOOKUP(L$11,Calculations!$F$367:$G$373,2,FALSE)=WEEKDAY(DATE(Year,MONTH($J$10),1)),1,0)),0))</f>
        <v>6</v>
      </c>
      <c r="M13" s="34">
        <f>IF(IF(DAY(EOMONTH(DATE(Year,MONTH($J$10),1),0))&gt;IF(L13&gt;=1,L13,IF(VLOOKUP(M$11,Calculations!$F$367:$G$373,2,FALSE)=WEEKDAY(DATE(Year,MONTH($J$10),1)),1,0)),IF(L13&gt;=1,L13+1,IF(VLOOKUP(M$11,Calculations!$F$367:$G$373,2,FALSE)=WEEKDAY(DATE(Year,MONTH($J$10),1)),1,0)),0)&lt;M12,0,IF(DAY(EOMONTH(DATE(Year,MONTH($J$10),1),0))&gt;IF(L13&gt;=1,L13,IF(VLOOKUP(M$11,Calculations!$F$367:$G$373,2,FALSE)=WEEKDAY(DATE(Year,MONTH($J$10),1)),1,0)),IF(L13&gt;=1,L13+1,IF(VLOOKUP(M$11,Calculations!$F$367:$G$373,2,FALSE)=WEEKDAY(DATE(Year,MONTH($J$10),1)),1,0)),0))</f>
        <v>7</v>
      </c>
      <c r="N13" s="34">
        <f>IF(IF(DAY(EOMONTH(DATE(Year,MONTH($J$10),1),0))&gt;IF(M13&gt;=1,M13,IF(VLOOKUP(N$11,Calculations!$F$367:$G$373,2,FALSE)=WEEKDAY(DATE(Year,MONTH($J$10),1)),1,0)),IF(M13&gt;=1,M13+1,IF(VLOOKUP(N$11,Calculations!$F$367:$G$373,2,FALSE)=WEEKDAY(DATE(Year,MONTH($J$10),1)),1,0)),0)&lt;N12,0,IF(DAY(EOMONTH(DATE(Year,MONTH($J$10),1),0))&gt;IF(M13&gt;=1,M13,IF(VLOOKUP(N$11,Calculations!$F$367:$G$373,2,FALSE)=WEEKDAY(DATE(Year,MONTH($J$10),1)),1,0)),IF(M13&gt;=1,M13+1,IF(VLOOKUP(N$11,Calculations!$F$367:$G$373,2,FALSE)=WEEKDAY(DATE(Year,MONTH($J$10),1)),1,0)),0))</f>
        <v>8</v>
      </c>
      <c r="O13" s="34">
        <f>IF(IF(DAY(EOMONTH(DATE(Year,MONTH($J$10),1),0))&gt;IF(N13&gt;=1,N13,IF(VLOOKUP(O$11,Calculations!$F$367:$G$373,2,FALSE)=WEEKDAY(DATE(Year,MONTH($J$10),1)),1,0)),IF(N13&gt;=1,N13+1,IF(VLOOKUP(O$11,Calculations!$F$367:$G$373,2,FALSE)=WEEKDAY(DATE(Year,MONTH($J$10),1)),1,0)),0)&lt;O12,0,IF(DAY(EOMONTH(DATE(Year,MONTH($J$10),1),0))&gt;IF(N13&gt;=1,N13,IF(VLOOKUP(O$11,Calculations!$F$367:$G$373,2,FALSE)=WEEKDAY(DATE(Year,MONTH($J$10),1)),1,0)),IF(N13&gt;=1,N13+1,IF(VLOOKUP(O$11,Calculations!$F$367:$G$373,2,FALSE)=WEEKDAY(DATE(Year,MONTH($J$10),1)),1,0)),0))</f>
        <v>9</v>
      </c>
      <c r="P13" s="35">
        <f>IF(IF(DAY(EOMONTH(DATE(Year,MONTH($J$10),1),0))&gt;IF(O13&gt;=1,O13,IF(VLOOKUP(P$11,Calculations!$F$367:$G$373,2,FALSE)=WEEKDAY(DATE(Year,MONTH($J$10),1)),1,0)),IF(O13&gt;=1,O13+1,IF(VLOOKUP(P$11,Calculations!$F$367:$G$373,2,FALSE)=WEEKDAY(DATE(Year,MONTH($J$10),1)),1,0)),0)&lt;P12,0,IF(DAY(EOMONTH(DATE(Year,MONTH($J$10),1),0))&gt;IF(O13&gt;=1,O13,IF(VLOOKUP(P$11,Calculations!$F$367:$G$373,2,FALSE)=WEEKDAY(DATE(Year,MONTH($J$10),1)),1,0)),IF(O13&gt;=1,O13+1,IF(VLOOKUP(P$11,Calculations!$F$367:$G$373,2,FALSE)=WEEKDAY(DATE(Year,MONTH($J$10),1)),1,0)),0))</f>
        <v>10</v>
      </c>
      <c r="Q13" s="5"/>
      <c r="S13" s="42" t="s">
        <v>80</v>
      </c>
      <c r="T13" s="60">
        <f>AH8</f>
        <v>45494</v>
      </c>
      <c r="U13" s="60" t="str">
        <f>AH10</f>
        <v>Sunday</v>
      </c>
      <c r="V13" s="61">
        <f>AH9</f>
        <v>0.42934027777777778</v>
      </c>
      <c r="Z13" s="10" t="s">
        <v>79</v>
      </c>
      <c r="AA13" s="9">
        <f>INT(275*MONTH(AA8)/9)-(IF(MOD(YEAR(AA8),4)=0,IF(MOD(YEAR(AA8),400)&gt;0,1,2),2))*INT((MONTH(AA8)+9)/12)+DAY(AA8)-30</f>
        <v>183</v>
      </c>
      <c r="AC13" s="10" t="s">
        <v>79</v>
      </c>
      <c r="AD13" s="9">
        <f>INT(275*MONTH(AD8)/9)-(IF(MOD(YEAR(AD8),4)=0,IF(MOD(YEAR(AD8),400)&gt;0,1,2),2))*INT((MONTH(AD8)+9)/12)+DAY(AD8)-30</f>
        <v>187</v>
      </c>
      <c r="AE13" s="10" t="s">
        <v>79</v>
      </c>
      <c r="AF13" s="9">
        <f>INT(275*MONTH(AF8)/9)-(IF(MOD(YEAR(AF8),4)=0,IF(MOD(YEAR(AF8),400)&gt;0,1,2),2))*INT((MONTH(AF8)+9)/12)+DAY(AF8)-30</f>
        <v>195</v>
      </c>
      <c r="AG13" s="10" t="s">
        <v>79</v>
      </c>
      <c r="AH13" s="9">
        <f>INT(275*MONTH(AH8)/9)-(IF(MOD(YEAR(AH8),4)=0,IF(MOD(YEAR(AH8),400)&gt;0,1,2),2))*INT((MONTH(AH8)+9)/12)+DAY(AH8)-30</f>
        <v>203</v>
      </c>
      <c r="AI13" s="10" t="s">
        <v>79</v>
      </c>
      <c r="AJ13" s="9">
        <f>INT(275*MONTH(AJ8)/9)-(IF(MOD(YEAR(AJ8),4)=0,IF(MOD(YEAR(AJ8),400)&gt;0,1,2),2))*INT((MONTH(AJ8)+9)/12)+DAY(AJ8)-30</f>
        <v>210</v>
      </c>
      <c r="AK13" s="10" t="s">
        <v>79</v>
      </c>
      <c r="AL13" s="9">
        <f>INT(275*MONTH(AL8)/9)-(IF(MOD(YEAR(AL8),4)=0,IF(MOD(YEAR(AL8),400)&gt;0,1,2),2))*INT((MONTH(AL8)+9)/12)+DAY(AL8)-30</f>
        <v>217</v>
      </c>
    </row>
    <row r="14" spans="2:38" ht="16" customHeight="1" x14ac:dyDescent="0.2">
      <c r="B14" s="33">
        <f>IF(IF(DAY(EOMONTH(DATE(YEAR($B$10),MONTH($B$10),1),0))&gt;IF(H13&gt;=1,H13,IF(VLOOKUP(B$11,Calculations!$F$367:$G$373,2,FALSE)=WEEKDAY(DATE(YEAR($B$10),MONTH($B$10),1)),1,0)),IF(H13&gt;=1,H13+1,IF(VLOOKUP(B$11,Calculations!$F$367:$G$373,2,FALSE)=WEEKDAY(DATE(Year,MONTH($B$10),1)),1,0)),0)&lt;B12,0,IF(DAY(EOMONTH(DATE(YEAR($B$10),MONTH($B$10),1),0))&gt;IF(H13&gt;=1,H13,IF(VLOOKUP(B$11,Calculations!$F$367:$G$373,2,FALSE)=WEEKDAY(DATE(YEAR($B$10),MONTH($B$10),1)),1,0)),IF(H13&gt;=1,H13+1,IF(VLOOKUP(B$11,Calculations!$F$367:$G$373,2,FALSE)=WEEKDAY(DATE(YEAR($B$10),MONTH($B$10),1)),1,0)),0))</f>
        <v>14</v>
      </c>
      <c r="C14" s="34">
        <f>IF(IF(DAY(EOMONTH(DATE(Year,MONTH($B$10),1),0))&gt;IF(B14&gt;=1,B14,IF(VLOOKUP(C$11,Calculations!$F$367:$G$373,2,FALSE)=WEEKDAY(DATE(Year,MONTH($B$10),1)),1,0)),IF(B14&gt;=1,B14+1,IF(VLOOKUP(C$11,Calculations!$F$367:$G$373,2,FALSE)=WEEKDAY(DATE(Year,MONTH($B$10),1)),1,0)),0)&lt;C12,0,IF(DAY(EOMONTH(DATE(Year,MONTH($B$10),1),0))&gt;IF(B14&gt;=1,B14,IF(VLOOKUP(C$11,Calculations!$F$367:$G$373,2,FALSE)=WEEKDAY(DATE(Year,MONTH($B$10),1)),1,0)),IF(B14&gt;=1,B14+1,IF(VLOOKUP(C$11,Calculations!$F$367:$G$373,2,FALSE)=WEEKDAY(DATE(Year,MONTH($B$10),1)),1,0)),0))</f>
        <v>15</v>
      </c>
      <c r="D14" s="34">
        <f>IF(IF(DAY(EOMONTH(DATE(Year,MONTH($B$10),1),0))&gt;IF(C14&gt;=1,C14,IF(VLOOKUP(D$11,Calculations!$F$367:$G$373,2,FALSE)=WEEKDAY(DATE(Year,MONTH($B$10),1)),1,0)),IF(C14&gt;=1,C14+1,IF(VLOOKUP(D$11,Calculations!$F$367:$G$373,2,FALSE)=WEEKDAY(DATE(Year,MONTH($B$10),1)),1,0)),0)&lt;D12,0,IF(DAY(EOMONTH(DATE(Year,MONTH($B$10),1),0))&gt;IF(C14&gt;=1,C14,IF(VLOOKUP(D$11,Calculations!$F$367:$G$373,2,FALSE)=WEEKDAY(DATE(Year,MONTH($B$10),1)),1,0)),IF(C14&gt;=1,C14+1,IF(VLOOKUP(D$11,Calculations!$F$367:$G$373,2,FALSE)=WEEKDAY(DATE(Year,MONTH($B$10),1)),1,0)),0))</f>
        <v>16</v>
      </c>
      <c r="E14" s="34">
        <f>IF(IF(DAY(EOMONTH(DATE(Year,MONTH($B$10),1),0))&gt;IF(D14&gt;=1,D14,IF(VLOOKUP(E$11,Calculations!$F$367:$G$373,2,FALSE)=WEEKDAY(DATE(Year,MONTH($B$10),1)),1,0)),IF(D14&gt;=1,D14+1,IF(VLOOKUP(E$11,Calculations!$F$367:$G$373,2,FALSE)=WEEKDAY(DATE(Year,MONTH($B$10),1)),1,0)),0)&lt;E12,0,IF(DAY(EOMONTH(DATE(Year,MONTH($B$10),1),0))&gt;IF(D14&gt;=1,D14,IF(VLOOKUP(E$11,Calculations!$F$367:$G$373,2,FALSE)=WEEKDAY(DATE(Year,MONTH($B$10),1)),1,0)),IF(D14&gt;=1,D14+1,IF(VLOOKUP(E$11,Calculations!$F$367:$G$373,2,FALSE)=WEEKDAY(DATE(Year,MONTH($B$10),1)),1,0)),0))</f>
        <v>17</v>
      </c>
      <c r="F14" s="34">
        <f>IF(IF(DAY(EOMONTH(DATE(Year,MONTH($B$10),1),0))&gt;IF(E14&gt;=1,E14,IF(VLOOKUP(F$11,Calculations!$F$367:$G$373,2,FALSE)=WEEKDAY(DATE(Year,MONTH($B$10),1)),1,0)),IF(E14&gt;=1,E14+1,IF(VLOOKUP(F$11,Calculations!$F$367:$G$373,2,FALSE)=WEEKDAY(DATE(Year,MONTH($B$10),1)),1,0)),0)&lt;F12,0,IF(DAY(EOMONTH(DATE(Year,MONTH($B$10),1),0))&gt;IF(E14&gt;=1,E14,IF(VLOOKUP(F$11,Calculations!$F$367:$G$373,2,FALSE)=WEEKDAY(DATE(Year,MONTH($B$10),1)),1,0)),IF(E14&gt;=1,E14+1,IF(VLOOKUP(F$11,Calculations!$F$367:$G$373,2,FALSE)=WEEKDAY(DATE(Year,MONTH($B$10),1)),1,0)),0))</f>
        <v>18</v>
      </c>
      <c r="G14" s="34">
        <f>IF(IF(DAY(EOMONTH(DATE(Year,MONTH($B$10),1),0))&gt;IF(F14&gt;=1,F14,IF(VLOOKUP(G$11,Calculations!$F$367:$G$373,2,FALSE)=WEEKDAY(DATE(Year,MONTH($B$10),1)),1,0)),IF(F14&gt;=1,F14+1,IF(VLOOKUP(G$11,Calculations!$F$367:$G$373,2,FALSE)=WEEKDAY(DATE(Year,MONTH($B$10),1)),1,0)),0)&lt;G12,0,IF(DAY(EOMONTH(DATE(Year,MONTH($B$10),1),0))&gt;IF(F14&gt;=1,F14,IF(VLOOKUP(G$11,Calculations!$F$367:$G$373,2,FALSE)=WEEKDAY(DATE(Year,MONTH($B$10),1)),1,0)),IF(F14&gt;=1,F14+1,IF(VLOOKUP(G$11,Calculations!$F$367:$G$373,2,FALSE)=WEEKDAY(DATE(Year,MONTH($B$10),1)),1,0)),0))</f>
        <v>19</v>
      </c>
      <c r="H14" s="35">
        <f>IF(IF(DAY(EOMONTH(DATE(Year,MONTH($B$10),1),0))&gt;IF(G14&gt;=1,G14,IF(VLOOKUP(H$11,Calculations!$F$367:$G$373,2,FALSE)=WEEKDAY(DATE(Year,MONTH($B$10),1)),1,0)),IF(G14&gt;=1,G14+1,IF(VLOOKUP(H$11,Calculations!$F$367:$G$373,2,FALSE)=WEEKDAY(DATE(Year,MONTH($B$10),1)),1,0)),0)&lt;H12,0,IF(DAY(EOMONTH(DATE(Year,MONTH($B$10),1),0))&gt;IF(G14&gt;=1,G14,IF(VLOOKUP(H$11,Calculations!$F$367:$G$373,2,FALSE)=WEEKDAY(DATE(Year,MONTH($B$10),1)),1,0)),IF(G14&gt;=1,G14+1,IF(VLOOKUP(H$11,Calculations!$F$367:$G$373,2,FALSE)=WEEKDAY(DATE(Year,MONTH($B$10),1)),1,0)),0))</f>
        <v>20</v>
      </c>
      <c r="I14" s="29"/>
      <c r="J14" s="33">
        <f>IF(IF(DAY(EOMONTH(DATE(YEAR($J$10),MONTH($J$10),1),0))&gt;IF(P13&gt;=1,P13,IF(VLOOKUP(J$11,Calculations!$F$367:$G$373,2,FALSE)=WEEKDAY(DATE(YEAR($J$10),MONTH($J$10),1)),1,0)),IF(P13&gt;=1,P13+1,IF(VLOOKUP(J$11,Calculations!$F$367:$G$373,2,FALSE)=WEEKDAY(DATE(Year,MONTH($J$10),1)),1,0)),0)&lt;J12,0,IF(DAY(EOMONTH(DATE(YEAR($J$10),MONTH($J$10),1),0))&gt;IF(P13&gt;=1,P13,IF(VLOOKUP(J$11,Calculations!$F$367:$G$373,2,FALSE)=WEEKDAY(DATE(YEAR($J$10),MONTH($J$10),1)),1,0)),IF(P13&gt;=1,P13+1,IF(VLOOKUP(J$11,Calculations!$F$367:$G$373,2,FALSE)=WEEKDAY(DATE(YEAR($J$10),MONTH($J$10),1)),1,0)),0))</f>
        <v>11</v>
      </c>
      <c r="K14" s="34">
        <f>IF(IF(DAY(EOMONTH(DATE(Year,MONTH($J$10),1),0))&gt;IF(J14&gt;=1,J14,IF(VLOOKUP(K$11,Calculations!$F$367:$G$373,2,FALSE)=WEEKDAY(DATE(Year,MONTH($J$10),1)),1,0)),IF(J14&gt;=1,J14+1,IF(VLOOKUP(K$11,Calculations!$F$367:$G$373,2,FALSE)=WEEKDAY(DATE(Year,MONTH($J$10),1)),1,0)),0)&lt;K12,0,IF(DAY(EOMONTH(DATE(Year,MONTH($J$10),1),0))&gt;IF(J14&gt;=1,J14,IF(VLOOKUP(K$11,Calculations!$F$367:$G$373,2,FALSE)=WEEKDAY(DATE(Year,MONTH($J$10),1)),1,0)),IF(J14&gt;=1,J14+1,IF(VLOOKUP(K$11,Calculations!$F$367:$G$373,2,FALSE)=WEEKDAY(DATE(Year,MONTH($J$10),1)),1,0)),0))</f>
        <v>12</v>
      </c>
      <c r="L14" s="34">
        <f>IF(IF(DAY(EOMONTH(DATE(Year,MONTH($J$10),1),0))&gt;IF(K14&gt;=1,K14,IF(VLOOKUP(L$11,Calculations!$F$367:$G$373,2,FALSE)=WEEKDAY(DATE(Year,MONTH($J$10),1)),1,0)),IF(K14&gt;=1,K14+1,IF(VLOOKUP(L$11,Calculations!$F$367:$G$373,2,FALSE)=WEEKDAY(DATE(Year,MONTH($J$10),1)),1,0)),0)&lt;L12,0,IF(DAY(EOMONTH(DATE(Year,MONTH($J$10),1),0))&gt;IF(K14&gt;=1,K14,IF(VLOOKUP(L$11,Calculations!$F$367:$G$373,2,FALSE)=WEEKDAY(DATE(Year,MONTH($J$10),1)),1,0)),IF(K14&gt;=1,K14+1,IF(VLOOKUP(L$11,Calculations!$F$367:$G$373,2,FALSE)=WEEKDAY(DATE(Year,MONTH($J$10),1)),1,0)),0))</f>
        <v>13</v>
      </c>
      <c r="M14" s="34">
        <f>IF(IF(DAY(EOMONTH(DATE(Year,MONTH($J$10),1),0))&gt;IF(L14&gt;=1,L14,IF(VLOOKUP(M$11,Calculations!$F$367:$G$373,2,FALSE)=WEEKDAY(DATE(Year,MONTH($J$10),1)),1,0)),IF(L14&gt;=1,L14+1,IF(VLOOKUP(M$11,Calculations!$F$367:$G$373,2,FALSE)=WEEKDAY(DATE(Year,MONTH($J$10),1)),1,0)),0)&lt;M12,0,IF(DAY(EOMONTH(DATE(Year,MONTH($J$10),1),0))&gt;IF(L14&gt;=1,L14,IF(VLOOKUP(M$11,Calculations!$F$367:$G$373,2,FALSE)=WEEKDAY(DATE(Year,MONTH($J$10),1)),1,0)),IF(L14&gt;=1,L14+1,IF(VLOOKUP(M$11,Calculations!$F$367:$G$373,2,FALSE)=WEEKDAY(DATE(Year,MONTH($J$10),1)),1,0)),0))</f>
        <v>14</v>
      </c>
      <c r="N14" s="34">
        <f>IF(IF(DAY(EOMONTH(DATE(Year,MONTH($J$10),1),0))&gt;IF(M14&gt;=1,M14,IF(VLOOKUP(N$11,Calculations!$F$367:$G$373,2,FALSE)=WEEKDAY(DATE(Year,MONTH($J$10),1)),1,0)),IF(M14&gt;=1,M14+1,IF(VLOOKUP(N$11,Calculations!$F$367:$G$373,2,FALSE)=WEEKDAY(DATE(Year,MONTH($J$10),1)),1,0)),0)&lt;N12,0,IF(DAY(EOMONTH(DATE(Year,MONTH($J$10),1),0))&gt;IF(M14&gt;=1,M14,IF(VLOOKUP(N$11,Calculations!$F$367:$G$373,2,FALSE)=WEEKDAY(DATE(Year,MONTH($J$10),1)),1,0)),IF(M14&gt;=1,M14+1,IF(VLOOKUP(N$11,Calculations!$F$367:$G$373,2,FALSE)=WEEKDAY(DATE(Year,MONTH($J$10),1)),1,0)),0))</f>
        <v>15</v>
      </c>
      <c r="O14" s="34">
        <f>IF(IF(DAY(EOMONTH(DATE(Year,MONTH($J$10),1),0))&gt;IF(N14&gt;=1,N14,IF(VLOOKUP(O$11,Calculations!$F$367:$G$373,2,FALSE)=WEEKDAY(DATE(Year,MONTH($J$10),1)),1,0)),IF(N14&gt;=1,N14+1,IF(VLOOKUP(O$11,Calculations!$F$367:$G$373,2,FALSE)=WEEKDAY(DATE(Year,MONTH($J$10),1)),1,0)),0)&lt;O12,0,IF(DAY(EOMONTH(DATE(Year,MONTH($J$10),1),0))&gt;IF(N14&gt;=1,N14,IF(VLOOKUP(O$11,Calculations!$F$367:$G$373,2,FALSE)=WEEKDAY(DATE(Year,MONTH($J$10),1)),1,0)),IF(N14&gt;=1,N14+1,IF(VLOOKUP(O$11,Calculations!$F$367:$G$373,2,FALSE)=WEEKDAY(DATE(Year,MONTH($J$10),1)),1,0)),0))</f>
        <v>16</v>
      </c>
      <c r="P14" s="35">
        <f>IF(IF(DAY(EOMONTH(DATE(Year,MONTH($J$10),1),0))&gt;IF(O14&gt;=1,O14,IF(VLOOKUP(P$11,Calculations!$F$367:$G$373,2,FALSE)=WEEKDAY(DATE(Year,MONTH($J$10),1)),1,0)),IF(O14&gt;=1,O14+1,IF(VLOOKUP(P$11,Calculations!$F$367:$G$373,2,FALSE)=WEEKDAY(DATE(Year,MONTH($J$10),1)),1,0)),0)&lt;P12,0,IF(DAY(EOMONTH(DATE(Year,MONTH($J$10),1),0))&gt;IF(O14&gt;=1,O14,IF(VLOOKUP(P$11,Calculations!$F$367:$G$373,2,FALSE)=WEEKDAY(DATE(Year,MONTH($J$10),1)),1,0)),IF(O14&gt;=1,O14+1,IF(VLOOKUP(P$11,Calculations!$F$367:$G$373,2,FALSE)=WEEKDAY(DATE(Year,MONTH($J$10),1)),1,0)),0))</f>
        <v>17</v>
      </c>
      <c r="Q14" s="5"/>
      <c r="S14" s="41" t="s">
        <v>78</v>
      </c>
      <c r="T14" s="60">
        <f>AJ8</f>
        <v>45501</v>
      </c>
      <c r="U14" s="60" t="str">
        <f>AJ10</f>
        <v>Sunday</v>
      </c>
      <c r="V14" s="61">
        <f>AJ9</f>
        <v>0.11997685185185185</v>
      </c>
      <c r="AA14" s="6">
        <f>INT(MOD((AA11+1.5),7))</f>
        <v>1</v>
      </c>
      <c r="AC14" s="8"/>
      <c r="AD14" s="6">
        <f>INT(MOD((AD11+1.5),7))</f>
        <v>5</v>
      </c>
      <c r="AE14" s="8"/>
      <c r="AF14" s="6">
        <f>INT(MOD((AF11+1.5),7))</f>
        <v>6</v>
      </c>
      <c r="AG14" s="7"/>
      <c r="AH14" s="6">
        <f>INT(MOD((AH11+1.5),7))</f>
        <v>0</v>
      </c>
      <c r="AI14" s="7"/>
      <c r="AJ14" s="6">
        <f>INT(MOD((AJ11+1.5),7))</f>
        <v>0</v>
      </c>
      <c r="AL14" s="6">
        <f>INT(MOD((AL11+1.5),7))</f>
        <v>0</v>
      </c>
    </row>
    <row r="15" spans="2:38" ht="16" customHeight="1" x14ac:dyDescent="0.2">
      <c r="B15" s="33">
        <f>IF(IF(DAY(EOMONTH(DATE(YEAR($B$10),MONTH($B$10),1),0))&gt;IF(H14&gt;=1,H14,IF(VLOOKUP(B$11,Calculations!$F$367:$G$373,2,FALSE)=WEEKDAY(DATE(YEAR($B$10),MONTH($B$10),1)),1,0)),IF(H14&gt;=1,H14+1,IF(VLOOKUP(B$11,Calculations!$F$367:$G$373,2,FALSE)=WEEKDAY(DATE(Year,MONTH($B$10),1)),1,0)),0)&lt;B13,0,IF(DAY(EOMONTH(DATE(YEAR($B$10),MONTH($B$10),1),0))&gt;IF(H14&gt;=1,H14,IF(VLOOKUP(B$11,Calculations!$F$367:$G$373,2,FALSE)=WEEKDAY(DATE(YEAR($B$10),MONTH($B$10),1)),1,0)),IF(H14&gt;=1,H14+1,IF(VLOOKUP(B$11,Calculations!$F$367:$G$373,2,FALSE)=WEEKDAY(DATE(YEAR($B$10),MONTH($B$10),1)),1,0)),0))</f>
        <v>21</v>
      </c>
      <c r="C15" s="34">
        <f>IF(IF(DAY(EOMONTH(DATE(Year,MONTH($B$10),1),0))&gt;IF(B15&gt;=1,B15,IF(VLOOKUP(C$11,Calculations!$F$367:$G$373,2,FALSE)=WEEKDAY(DATE(Year,MONTH($B$10),1)),1,0)),IF(B15&gt;=1,B15+1,IF(VLOOKUP(C$11,Calculations!$F$367:$G$373,2,FALSE)=WEEKDAY(DATE(Year,MONTH($B$10),1)),1,0)),0)&lt;C13,0,IF(DAY(EOMONTH(DATE(Year,MONTH($B$10),1),0))&gt;IF(B15&gt;=1,B15,IF(VLOOKUP(C$11,Calculations!$F$367:$G$373,2,FALSE)=WEEKDAY(DATE(Year,MONTH($B$10),1)),1,0)),IF(B15&gt;=1,B15+1,IF(VLOOKUP(C$11,Calculations!$F$367:$G$373,2,FALSE)=WEEKDAY(DATE(Year,MONTH($B$10),1)),1,0)),0))</f>
        <v>22</v>
      </c>
      <c r="D15" s="34">
        <f>IF(IF(DAY(EOMONTH(DATE(Year,MONTH($B$10),1),0))&gt;IF(C15&gt;=1,C15,IF(VLOOKUP(D$11,Calculations!$F$367:$G$373,2,FALSE)=WEEKDAY(DATE(Year,MONTH($B$10),1)),1,0)),IF(C15&gt;=1,C15+1,IF(VLOOKUP(D$11,Calculations!$F$367:$G$373,2,FALSE)=WEEKDAY(DATE(Year,MONTH($B$10),1)),1,0)),0)&lt;D13,0,IF(DAY(EOMONTH(DATE(Year,MONTH($B$10),1),0))&gt;IF(C15&gt;=1,C15,IF(VLOOKUP(D$11,Calculations!$F$367:$G$373,2,FALSE)=WEEKDAY(DATE(Year,MONTH($B$10),1)),1,0)),IF(C15&gt;=1,C15+1,IF(VLOOKUP(D$11,Calculations!$F$367:$G$373,2,FALSE)=WEEKDAY(DATE(Year,MONTH($B$10),1)),1,0)),0))</f>
        <v>23</v>
      </c>
      <c r="E15" s="34">
        <f>IF(IF(DAY(EOMONTH(DATE(Year,MONTH($B$10),1),0))&gt;IF(D15&gt;=1,D15,IF(VLOOKUP(E$11,Calculations!$F$367:$G$373,2,FALSE)=WEEKDAY(DATE(Year,MONTH($B$10),1)),1,0)),IF(D15&gt;=1,D15+1,IF(VLOOKUP(E$11,Calculations!$F$367:$G$373,2,FALSE)=WEEKDAY(DATE(Year,MONTH($B$10),1)),1,0)),0)&lt;E13,0,IF(DAY(EOMONTH(DATE(Year,MONTH($B$10),1),0))&gt;IF(D15&gt;=1,D15,IF(VLOOKUP(E$11,Calculations!$F$367:$G$373,2,FALSE)=WEEKDAY(DATE(Year,MONTH($B$10),1)),1,0)),IF(D15&gt;=1,D15+1,IF(VLOOKUP(E$11,Calculations!$F$367:$G$373,2,FALSE)=WEEKDAY(DATE(Year,MONTH($B$10),1)),1,0)),0))</f>
        <v>24</v>
      </c>
      <c r="F15" s="34">
        <f>IF(IF(DAY(EOMONTH(DATE(Year,MONTH($B$10),1),0))&gt;IF(E15&gt;=1,E15,IF(VLOOKUP(F$11,Calculations!$F$367:$G$373,2,FALSE)=WEEKDAY(DATE(Year,MONTH($B$10),1)),1,0)),IF(E15&gt;=1,E15+1,IF(VLOOKUP(F$11,Calculations!$F$367:$G$373,2,FALSE)=WEEKDAY(DATE(Year,MONTH($B$10),1)),1,0)),0)&lt;F13,0,IF(DAY(EOMONTH(DATE(Year,MONTH($B$10),1),0))&gt;IF(E15&gt;=1,E15,IF(VLOOKUP(F$11,Calculations!$F$367:$G$373,2,FALSE)=WEEKDAY(DATE(Year,MONTH($B$10),1)),1,0)),IF(E15&gt;=1,E15+1,IF(VLOOKUP(F$11,Calculations!$F$367:$G$373,2,FALSE)=WEEKDAY(DATE(Year,MONTH($B$10),1)),1,0)),0))</f>
        <v>25</v>
      </c>
      <c r="G15" s="34">
        <f>IF(IF(DAY(EOMONTH(DATE(Year,MONTH($B$10),1),0))&gt;IF(F15&gt;=1,F15,IF(VLOOKUP(G$11,Calculations!$F$367:$G$373,2,FALSE)=WEEKDAY(DATE(Year,MONTH($B$10),1)),1,0)),IF(F15&gt;=1,F15+1,IF(VLOOKUP(G$11,Calculations!$F$367:$G$373,2,FALSE)=WEEKDAY(DATE(Year,MONTH($B$10),1)),1,0)),0)&lt;G13,0,IF(DAY(EOMONTH(DATE(Year,MONTH($B$10),1),0))&gt;IF(F15&gt;=1,F15,IF(VLOOKUP(G$11,Calculations!$F$367:$G$373,2,FALSE)=WEEKDAY(DATE(Year,MONTH($B$10),1)),1,0)),IF(F15&gt;=1,F15+1,IF(VLOOKUP(G$11,Calculations!$F$367:$G$373,2,FALSE)=WEEKDAY(DATE(Year,MONTH($B$10),1)),1,0)),0))</f>
        <v>26</v>
      </c>
      <c r="H15" s="35">
        <f>IF(IF(DAY(EOMONTH(DATE(Year,MONTH($B$10),1),0))&gt;IF(G15&gt;=1,G15,IF(VLOOKUP(H$11,Calculations!$F$367:$G$373,2,FALSE)=WEEKDAY(DATE(Year,MONTH($B$10),1)),1,0)),IF(G15&gt;=1,G15+1,IF(VLOOKUP(H$11,Calculations!$F$367:$G$373,2,FALSE)=WEEKDAY(DATE(Year,MONTH($B$10),1)),1,0)),0)&lt;H13,0,IF(DAY(EOMONTH(DATE(Year,MONTH($B$10),1),0))&gt;IF(G15&gt;=1,G15,IF(VLOOKUP(H$11,Calculations!$F$367:$G$373,2,FALSE)=WEEKDAY(DATE(Year,MONTH($B$10),1)),1,0)),IF(G15&gt;=1,G15+1,IF(VLOOKUP(H$11,Calculations!$F$367:$G$373,2,FALSE)=WEEKDAY(DATE(Year,MONTH($B$10),1)),1,0)),0))</f>
        <v>27</v>
      </c>
      <c r="I15" s="29"/>
      <c r="J15" s="33">
        <f>IF(IF(DAY(EOMONTH(DATE(YEAR($J$10),MONTH($J$10),1),0))&gt;IF(P14&gt;=1,P14,IF(VLOOKUP(J$11,Calculations!$F$367:$G$373,2,FALSE)=WEEKDAY(DATE(YEAR($J$10),MONTH($J$10),1)),1,0)),IF(P14&gt;=1,P14+1,IF(VLOOKUP(J$11,Calculations!$F$367:$G$373,2,FALSE)=WEEKDAY(DATE(Year,MONTH($J$10),1)),1,0)),0)&lt;J13,0,IF(DAY(EOMONTH(DATE(YEAR($J$10),MONTH($J$10),1),0))&gt;IF(P14&gt;=1,P14,IF(VLOOKUP(J$11,Calculations!$F$367:$G$373,2,FALSE)=WEEKDAY(DATE(YEAR($J$10),MONTH($J$10),1)),1,0)),IF(P14&gt;=1,P14+1,IF(VLOOKUP(J$11,Calculations!$F$367:$G$373,2,FALSE)=WEEKDAY(DATE(YEAR($J$10),MONTH($J$10),1)),1,0)),0))</f>
        <v>18</v>
      </c>
      <c r="K15" s="34">
        <f>IF(IF(DAY(EOMONTH(DATE(Year,MONTH($J$10),1),0))&gt;IF(J15&gt;=1,J15,IF(VLOOKUP(K$11,Calculations!$F$367:$G$373,2,FALSE)=WEEKDAY(DATE(Year,MONTH($J$10),1)),1,0)),IF(J15&gt;=1,J15+1,IF(VLOOKUP(K$11,Calculations!$F$367:$G$373,2,FALSE)=WEEKDAY(DATE(Year,MONTH($J$10),1)),1,0)),0)&lt;K13,0,IF(DAY(EOMONTH(DATE(Year,MONTH($J$10),1),0))&gt;IF(J15&gt;=1,J15,IF(VLOOKUP(K$11,Calculations!$F$367:$G$373,2,FALSE)=WEEKDAY(DATE(Year,MONTH($J$10),1)),1,0)),IF(J15&gt;=1,J15+1,IF(VLOOKUP(K$11,Calculations!$F$367:$G$373,2,FALSE)=WEEKDAY(DATE(Year,MONTH($J$10),1)),1,0)),0))</f>
        <v>19</v>
      </c>
      <c r="L15" s="34">
        <f>IF(IF(DAY(EOMONTH(DATE(Year,MONTH($J$10),1),0))&gt;IF(K15&gt;=1,K15,IF(VLOOKUP(L$11,Calculations!$F$367:$G$373,2,FALSE)=WEEKDAY(DATE(Year,MONTH($J$10),1)),1,0)),IF(K15&gt;=1,K15+1,IF(VLOOKUP(L$11,Calculations!$F$367:$G$373,2,FALSE)=WEEKDAY(DATE(Year,MONTH($J$10),1)),1,0)),0)&lt;L13,0,IF(DAY(EOMONTH(DATE(Year,MONTH($J$10),1),0))&gt;IF(K15&gt;=1,K15,IF(VLOOKUP(L$11,Calculations!$F$367:$G$373,2,FALSE)=WEEKDAY(DATE(Year,MONTH($J$10),1)),1,0)),IF(K15&gt;=1,K15+1,IF(VLOOKUP(L$11,Calculations!$F$367:$G$373,2,FALSE)=WEEKDAY(DATE(Year,MONTH($J$10),1)),1,0)),0))</f>
        <v>20</v>
      </c>
      <c r="M15" s="34">
        <f>IF(IF(DAY(EOMONTH(DATE(Year,MONTH($J$10),1),0))&gt;IF(L15&gt;=1,L15,IF(VLOOKUP(M$11,Calculations!$F$367:$G$373,2,FALSE)=WEEKDAY(DATE(Year,MONTH($J$10),1)),1,0)),IF(L15&gt;=1,L15+1,IF(VLOOKUP(M$11,Calculations!$F$367:$G$373,2,FALSE)=WEEKDAY(DATE(Year,MONTH($J$10),1)),1,0)),0)&lt;M13,0,IF(DAY(EOMONTH(DATE(Year,MONTH($J$10),1),0))&gt;IF(L15&gt;=1,L15,IF(VLOOKUP(M$11,Calculations!$F$367:$G$373,2,FALSE)=WEEKDAY(DATE(Year,MONTH($J$10),1)),1,0)),IF(L15&gt;=1,L15+1,IF(VLOOKUP(M$11,Calculations!$F$367:$G$373,2,FALSE)=WEEKDAY(DATE(Year,MONTH($J$10),1)),1,0)),0))</f>
        <v>21</v>
      </c>
      <c r="N15" s="34">
        <f>IF(IF(DAY(EOMONTH(DATE(Year,MONTH($J$10),1),0))&gt;IF(M15&gt;=1,M15,IF(VLOOKUP(N$11,Calculations!$F$367:$G$373,2,FALSE)=WEEKDAY(DATE(Year,MONTH($J$10),1)),1,0)),IF(M15&gt;=1,M15+1,IF(VLOOKUP(N$11,Calculations!$F$367:$G$373,2,FALSE)=WEEKDAY(DATE(Year,MONTH($J$10),1)),1,0)),0)&lt;N13,0,IF(DAY(EOMONTH(DATE(Year,MONTH($J$10),1),0))&gt;IF(M15&gt;=1,M15,IF(VLOOKUP(N$11,Calculations!$F$367:$G$373,2,FALSE)=WEEKDAY(DATE(Year,MONTH($J$10),1)),1,0)),IF(M15&gt;=1,M15+1,IF(VLOOKUP(N$11,Calculations!$F$367:$G$373,2,FALSE)=WEEKDAY(DATE(Year,MONTH($J$10),1)),1,0)),0))</f>
        <v>22</v>
      </c>
      <c r="O15" s="34">
        <f>IF(IF(DAY(EOMONTH(DATE(Year,MONTH($J$10),1),0))&gt;IF(N15&gt;=1,N15,IF(VLOOKUP(O$11,Calculations!$F$367:$G$373,2,FALSE)=WEEKDAY(DATE(Year,MONTH($J$10),1)),1,0)),IF(N15&gt;=1,N15+1,IF(VLOOKUP(O$11,Calculations!$F$367:$G$373,2,FALSE)=WEEKDAY(DATE(Year,MONTH($J$10),1)),1,0)),0)&lt;O13,0,IF(DAY(EOMONTH(DATE(Year,MONTH($J$10),1),0))&gt;IF(N15&gt;=1,N15,IF(VLOOKUP(O$11,Calculations!$F$367:$G$373,2,FALSE)=WEEKDAY(DATE(Year,MONTH($J$10),1)),1,0)),IF(N15&gt;=1,N15+1,IF(VLOOKUP(O$11,Calculations!$F$367:$G$373,2,FALSE)=WEEKDAY(DATE(Year,MONTH($J$10),1)),1,0)),0))</f>
        <v>23</v>
      </c>
      <c r="P15" s="35">
        <f>IF(IF(DAY(EOMONTH(DATE(Year,MONTH($J$10),1),0))&gt;IF(O15&gt;=1,O15,IF(VLOOKUP(P$11,Calculations!$F$367:$G$373,2,FALSE)=WEEKDAY(DATE(Year,MONTH($J$10),1)),1,0)),IF(O15&gt;=1,O15+1,IF(VLOOKUP(P$11,Calculations!$F$367:$G$373,2,FALSE)=WEEKDAY(DATE(Year,MONTH($J$10),1)),1,0)),0)&lt;P13,0,IF(DAY(EOMONTH(DATE(Year,MONTH($J$10),1),0))&gt;IF(O15&gt;=1,O15,IF(VLOOKUP(P$11,Calculations!$F$367:$G$373,2,FALSE)=WEEKDAY(DATE(Year,MONTH($J$10),1)),1,0)),IF(O15&gt;=1,O15+1,IF(VLOOKUP(P$11,Calculations!$F$367:$G$373,2,FALSE)=WEEKDAY(DATE(Year,MONTH($J$10),1)),1,0)),0))</f>
        <v>24</v>
      </c>
      <c r="Q15" s="5"/>
      <c r="S15" s="40" t="s">
        <v>77</v>
      </c>
      <c r="T15" s="60">
        <f>AL8</f>
        <v>45508</v>
      </c>
      <c r="U15" s="60" t="str">
        <f>AL10</f>
        <v>Sunday</v>
      </c>
      <c r="V15" s="61">
        <f>AL9</f>
        <v>0.46815972222222224</v>
      </c>
      <c r="Z15" s="133" t="s">
        <v>138</v>
      </c>
      <c r="AA15" s="134"/>
    </row>
    <row r="16" spans="2:38" ht="16" customHeight="1" x14ac:dyDescent="0.2">
      <c r="B16" s="33">
        <f>IF(IF(DAY(EOMONTH(DATE(YEAR($B$10),MONTH($B$10),1),0))&gt;IF(H15&gt;=1,H15,IF(VLOOKUP(B$11,Calculations!$F$367:$G$373,2,FALSE)=WEEKDAY(DATE(YEAR($B$10),MONTH($B$10),1)),1,0)),IF(H15&gt;=1,H15+1,IF(VLOOKUP(B$11,Calculations!$F$367:$G$373,2,FALSE)=WEEKDAY(DATE(Year,MONTH($B$10),1)),1,0)),0)&lt;B14,0,IF(DAY(EOMONTH(DATE(YEAR($B$10),MONTH($B$10),1),0))&gt;IF(H15&gt;=1,H15,IF(VLOOKUP(B$11,Calculations!$F$367:$G$373,2,FALSE)=WEEKDAY(DATE(YEAR($B$10),MONTH($B$10),1)),1,0)),IF(H15&gt;=1,H15+1,IF(VLOOKUP(B$11,Calculations!$F$367:$G$373,2,FALSE)=WEEKDAY(DATE(YEAR($B$10),MONTH($B$10),1)),1,0)),0))</f>
        <v>28</v>
      </c>
      <c r="C16" s="34">
        <f>IF(IF(DAY(EOMONTH(DATE(Year,MONTH($B$10),1),0))&gt;IF(B16&gt;=1,B16,IF(VLOOKUP(C$11,Calculations!$F$367:$G$373,2,FALSE)=WEEKDAY(DATE(Year,MONTH($B$10),1)),1,0)),IF(B16&gt;=1,B16+1,IF(VLOOKUP(C$11,Calculations!$F$367:$G$373,2,FALSE)=WEEKDAY(DATE(Year,MONTH($B$10),1)),1,0)),0)&lt;C14,0,IF(DAY(EOMONTH(DATE(Year,MONTH($B$10),1),0))&gt;IF(B16&gt;=1,B16,IF(VLOOKUP(C$11,Calculations!$F$367:$G$373,2,FALSE)=WEEKDAY(DATE(Year,MONTH($B$10),1)),1,0)),IF(B16&gt;=1,B16+1,IF(VLOOKUP(C$11,Calculations!$F$367:$G$373,2,FALSE)=WEEKDAY(DATE(Year,MONTH($B$10),1)),1,0)),0))</f>
        <v>29</v>
      </c>
      <c r="D16" s="34">
        <f>IF(IF(DAY(EOMONTH(DATE(Year,MONTH($B$10),1),0))&gt;IF(C16&gt;=1,C16,IF(VLOOKUP(D$11,Calculations!$F$367:$G$373,2,FALSE)=WEEKDAY(DATE(Year,MONTH($B$10),1)),1,0)),IF(C16&gt;=1,C16+1,IF(VLOOKUP(D$11,Calculations!$F$367:$G$373,2,FALSE)=WEEKDAY(DATE(Year,MONTH($B$10),1)),1,0)),0)&lt;D14,0,IF(DAY(EOMONTH(DATE(Year,MONTH($B$10),1),0))&gt;IF(C16&gt;=1,C16,IF(VLOOKUP(D$11,Calculations!$F$367:$G$373,2,FALSE)=WEEKDAY(DATE(Year,MONTH($B$10),1)),1,0)),IF(C16&gt;=1,C16+1,IF(VLOOKUP(D$11,Calculations!$F$367:$G$373,2,FALSE)=WEEKDAY(DATE(Year,MONTH($B$10),1)),1,0)),0))</f>
        <v>30</v>
      </c>
      <c r="E16" s="34">
        <f>IF(IF(DAY(EOMONTH(DATE(Year,MONTH($B$10),1),0))&gt;IF(D16&gt;=1,D16,IF(VLOOKUP(E$11,Calculations!$F$367:$G$373,2,FALSE)=WEEKDAY(DATE(Year,MONTH($B$10),1)),1,0)),IF(D16&gt;=1,D16+1,IF(VLOOKUP(E$11,Calculations!$F$367:$G$373,2,FALSE)=WEEKDAY(DATE(Year,MONTH($B$10),1)),1,0)),0)&lt;E14,0,IF(DAY(EOMONTH(DATE(Year,MONTH($B$10),1),0))&gt;IF(D16&gt;=1,D16,IF(VLOOKUP(E$11,Calculations!$F$367:$G$373,2,FALSE)=WEEKDAY(DATE(Year,MONTH($B$10),1)),1,0)),IF(D16&gt;=1,D16+1,IF(VLOOKUP(E$11,Calculations!$F$367:$G$373,2,FALSE)=WEEKDAY(DATE(Year,MONTH($B$10),1)),1,0)),0))</f>
        <v>31</v>
      </c>
      <c r="F16" s="34">
        <f>IF(IF(DAY(EOMONTH(DATE(Year,MONTH($B$10),1),0))&gt;IF(E16&gt;=1,E16,IF(VLOOKUP(F$11,Calculations!$F$367:$G$373,2,FALSE)=WEEKDAY(DATE(Year,MONTH($B$10),1)),1,0)),IF(E16&gt;=1,E16+1,IF(VLOOKUP(F$11,Calculations!$F$367:$G$373,2,FALSE)=WEEKDAY(DATE(Year,MONTH($B$10),1)),1,0)),0)&lt;F14,0,IF(DAY(EOMONTH(DATE(Year,MONTH($B$10),1),0))&gt;IF(E16&gt;=1,E16,IF(VLOOKUP(F$11,Calculations!$F$367:$G$373,2,FALSE)=WEEKDAY(DATE(Year,MONTH($B$10),1)),1,0)),IF(E16&gt;=1,E16+1,IF(VLOOKUP(F$11,Calculations!$F$367:$G$373,2,FALSE)=WEEKDAY(DATE(Year,MONTH($B$10),1)),1,0)),0))</f>
        <v>0</v>
      </c>
      <c r="G16" s="34">
        <f>IF(IF(DAY(EOMONTH(DATE(Year,MONTH($B$10),1),0))&gt;IF(F16&gt;=1,F16,IF(VLOOKUP(G$11,Calculations!$F$367:$G$373,2,FALSE)=WEEKDAY(DATE(Year,MONTH($B$10),1)),1,0)),IF(F16&gt;=1,F16+1,IF(VLOOKUP(G$11,Calculations!$F$367:$G$373,2,FALSE)=WEEKDAY(DATE(Year,MONTH($B$10),1)),1,0)),0)&lt;G14,0,IF(DAY(EOMONTH(DATE(Year,MONTH($B$10),1),0))&gt;IF(F16&gt;=1,F16,IF(VLOOKUP(G$11,Calculations!$F$367:$G$373,2,FALSE)=WEEKDAY(DATE(Year,MONTH($B$10),1)),1,0)),IF(F16&gt;=1,F16+1,IF(VLOOKUP(G$11,Calculations!$F$367:$G$373,2,FALSE)=WEEKDAY(DATE(Year,MONTH($B$10),1)),1,0)),0))</f>
        <v>0</v>
      </c>
      <c r="H16" s="35">
        <f>IF(IF(DAY(EOMONTH(DATE(Year,MONTH($B$10),1),0))&gt;IF(G16&gt;=1,G16,IF(VLOOKUP(H$11,Calculations!$F$367:$G$373,2,FALSE)=WEEKDAY(DATE(Year,MONTH($B$10),1)),1,0)),IF(G16&gt;=1,G16+1,IF(VLOOKUP(H$11,Calculations!$F$367:$G$373,2,FALSE)=WEEKDAY(DATE(Year,MONTH($B$10),1)),1,0)),0)&lt;H14,0,IF(DAY(EOMONTH(DATE(Year,MONTH($B$10),1),0))&gt;IF(G16&gt;=1,G16,IF(VLOOKUP(H$11,Calculations!$F$367:$G$373,2,FALSE)=WEEKDAY(DATE(Year,MONTH($B$10),1)),1,0)),IF(G16&gt;=1,G16+1,IF(VLOOKUP(H$11,Calculations!$F$367:$G$373,2,FALSE)=WEEKDAY(DATE(Year,MONTH($B$10),1)),1,0)),0))</f>
        <v>0</v>
      </c>
      <c r="I16" s="29"/>
      <c r="J16" s="33">
        <f>IF(IF(DAY(EOMONTH(DATE(YEAR($J$10),MONTH($J$10),1),0))&gt;IF(P15&gt;=1,P15,IF(VLOOKUP(J$11,Calculations!$F$367:$G$373,2,FALSE)=WEEKDAY(DATE(YEAR($J$10),MONTH($J$10),1)),1,0)),IF(P15&gt;=1,P15+1,IF(VLOOKUP(J$11,Calculations!$F$367:$G$373,2,FALSE)=WEEKDAY(DATE(Year,MONTH($J$10),1)),1,0)),0)&lt;J14,0,IF(DAY(EOMONTH(DATE(YEAR($J$10),MONTH($J$10),1),0))&gt;IF(P15&gt;=1,P15,IF(VLOOKUP(J$11,Calculations!$F$367:$G$373,2,FALSE)=WEEKDAY(DATE(YEAR($J$10),MONTH($J$10),1)),1,0)),IF(P15&gt;=1,P15+1,IF(VLOOKUP(J$11,Calculations!$F$367:$G$373,2,FALSE)=WEEKDAY(DATE(YEAR($J$10),MONTH($J$10),1)),1,0)),0))</f>
        <v>25</v>
      </c>
      <c r="K16" s="34">
        <f>IF(IF(DAY(EOMONTH(DATE(Year,MONTH($J$10),1),0))&gt;IF(J16&gt;=1,J16,IF(VLOOKUP(K$11,Calculations!$F$367:$G$373,2,FALSE)=WEEKDAY(DATE(Year,MONTH($J$10),1)),1,0)),IF(J16&gt;=1,J16+1,IF(VLOOKUP(K$11,Calculations!$F$367:$G$373,2,FALSE)=WEEKDAY(DATE(Year,MONTH($J$10),1)),1,0)),0)&lt;K14,0,IF(DAY(EOMONTH(DATE(Year,MONTH($J$10),1),0))&gt;IF(J16&gt;=1,J16,IF(VLOOKUP(K$11,Calculations!$F$367:$G$373,2,FALSE)=WEEKDAY(DATE(Year,MONTH($J$10),1)),1,0)),IF(J16&gt;=1,J16+1,IF(VLOOKUP(K$11,Calculations!$F$367:$G$373,2,FALSE)=WEEKDAY(DATE(Year,MONTH($J$10),1)),1,0)),0))</f>
        <v>26</v>
      </c>
      <c r="L16" s="34">
        <f>IF(IF(DAY(EOMONTH(DATE(Year,MONTH($J$10),1),0))&gt;IF(K16&gt;=1,K16,IF(VLOOKUP(L$11,Calculations!$F$367:$G$373,2,FALSE)=WEEKDAY(DATE(Year,MONTH($J$10),1)),1,0)),IF(K16&gt;=1,K16+1,IF(VLOOKUP(L$11,Calculations!$F$367:$G$373,2,FALSE)=WEEKDAY(DATE(Year,MONTH($J$10),1)),1,0)),0)&lt;L14,0,IF(DAY(EOMONTH(DATE(Year,MONTH($J$10),1),0))&gt;IF(K16&gt;=1,K16,IF(VLOOKUP(L$11,Calculations!$F$367:$G$373,2,FALSE)=WEEKDAY(DATE(Year,MONTH($J$10),1)),1,0)),IF(K16&gt;=1,K16+1,IF(VLOOKUP(L$11,Calculations!$F$367:$G$373,2,FALSE)=WEEKDAY(DATE(Year,MONTH($J$10),1)),1,0)),0))</f>
        <v>27</v>
      </c>
      <c r="M16" s="34">
        <f>IF(IF(DAY(EOMONTH(DATE(Year,MONTH($J$10),1),0))&gt;IF(L16&gt;=1,L16,IF(VLOOKUP(M$11,Calculations!$F$367:$G$373,2,FALSE)=WEEKDAY(DATE(Year,MONTH($J$10),1)),1,0)),IF(L16&gt;=1,L16+1,IF(VLOOKUP(M$11,Calculations!$F$367:$G$373,2,FALSE)=WEEKDAY(DATE(Year,MONTH($J$10),1)),1,0)),0)&lt;M14,0,IF(DAY(EOMONTH(DATE(Year,MONTH($J$10),1),0))&gt;IF(L16&gt;=1,L16,IF(VLOOKUP(M$11,Calculations!$F$367:$G$373,2,FALSE)=WEEKDAY(DATE(Year,MONTH($J$10),1)),1,0)),IF(L16&gt;=1,L16+1,IF(VLOOKUP(M$11,Calculations!$F$367:$G$373,2,FALSE)=WEEKDAY(DATE(Year,MONTH($J$10),1)),1,0)),0))</f>
        <v>28</v>
      </c>
      <c r="N16" s="34">
        <f>IF(IF(DAY(EOMONTH(DATE(Year,MONTH($J$10),1),0))&gt;IF(M16&gt;=1,M16,IF(VLOOKUP(N$11,Calculations!$F$367:$G$373,2,FALSE)=WEEKDAY(DATE(Year,MONTH($J$10),1)),1,0)),IF(M16&gt;=1,M16+1,IF(VLOOKUP(N$11,Calculations!$F$367:$G$373,2,FALSE)=WEEKDAY(DATE(Year,MONTH($J$10),1)),1,0)),0)&lt;N14,0,IF(DAY(EOMONTH(DATE(Year,MONTH($J$10),1),0))&gt;IF(M16&gt;=1,M16,IF(VLOOKUP(N$11,Calculations!$F$367:$G$373,2,FALSE)=WEEKDAY(DATE(Year,MONTH($J$10),1)),1,0)),IF(M16&gt;=1,M16+1,IF(VLOOKUP(N$11,Calculations!$F$367:$G$373,2,FALSE)=WEEKDAY(DATE(Year,MONTH($J$10),1)),1,0)),0))</f>
        <v>29</v>
      </c>
      <c r="O16" s="34">
        <f>IF(IF(DAY(EOMONTH(DATE(Year,MONTH($J$10),1),0))&gt;IF(N16&gt;=1,N16,IF(VLOOKUP(O$11,Calculations!$F$367:$G$373,2,FALSE)=WEEKDAY(DATE(Year,MONTH($J$10),1)),1,0)),IF(N16&gt;=1,N16+1,IF(VLOOKUP(O$11,Calculations!$F$367:$G$373,2,FALSE)=WEEKDAY(DATE(Year,MONTH($J$10),1)),1,0)),0)&lt;O14,0,IF(DAY(EOMONTH(DATE(Year,MONTH($J$10),1),0))&gt;IF(N16&gt;=1,N16,IF(VLOOKUP(O$11,Calculations!$F$367:$G$373,2,FALSE)=WEEKDAY(DATE(Year,MONTH($J$10),1)),1,0)),IF(N16&gt;=1,N16+1,IF(VLOOKUP(O$11,Calculations!$F$367:$G$373,2,FALSE)=WEEKDAY(DATE(Year,MONTH($J$10),1)),1,0)),0))</f>
        <v>30</v>
      </c>
      <c r="P16" s="35">
        <f>IF(IF(DAY(EOMONTH(DATE(Year,MONTH($J$10),1),0))&gt;IF(O16&gt;=1,O16,IF(VLOOKUP(P$11,Calculations!$F$367:$G$373,2,FALSE)=WEEKDAY(DATE(Year,MONTH($J$10),1)),1,0)),IF(O16&gt;=1,O16+1,IF(VLOOKUP(P$11,Calculations!$F$367:$G$373,2,FALSE)=WEEKDAY(DATE(Year,MONTH($J$10),1)),1,0)),0)&lt;P14,0,IF(DAY(EOMONTH(DATE(Year,MONTH($J$10),1),0))&gt;IF(O16&gt;=1,O16,IF(VLOOKUP(P$11,Calculations!$F$367:$G$373,2,FALSE)=WEEKDAY(DATE(Year,MONTH($J$10),1)),1,0)),IF(O16&gt;=1,O16+1,IF(VLOOKUP(P$11,Calculations!$F$367:$G$373,2,FALSE)=WEEKDAY(DATE(Year,MONTH($J$10),1)),1,0)),0))</f>
        <v>31</v>
      </c>
      <c r="Q16" s="5"/>
      <c r="S16" s="28"/>
      <c r="T16" s="43"/>
      <c r="U16" s="43"/>
      <c r="V16" s="62">
        <f>AL11-AD11</f>
        <v>29.510866112541407</v>
      </c>
      <c r="Z16" s="12" t="s">
        <v>48</v>
      </c>
      <c r="AA16" s="15">
        <f>E3</f>
        <v>45479</v>
      </c>
    </row>
    <row r="17" spans="2:33" ht="16" customHeight="1" x14ac:dyDescent="0.2">
      <c r="B17" s="36">
        <f>IF(IF(DAY(EOMONTH(DATE(YEAR($B$10),MONTH($B$10),1),0))&gt;IF(H16&gt;=1,H16,IF(VLOOKUP(B$11,Calculations!$F$367:$G$373,2,FALSE)=WEEKDAY(DATE(YEAR($B$10),MONTH($B$10),1)),1,0)),IF(H16&gt;=1,H16+1,IF(VLOOKUP(B$11,Calculations!$F$367:$G$373,2,FALSE)=WEEKDAY(DATE(Year,MONTH($B$10),1)),1,0)),0)&lt;B15,0,IF(DAY(EOMONTH(DATE(YEAR($B$10),MONTH($B$10),1),0))&gt;IF(H16&gt;=1,H16,IF(VLOOKUP(B$11,Calculations!$F$367:$G$373,2,FALSE)=WEEKDAY(DATE(YEAR($B$10),MONTH($B$10),1)),1,0)),IF(H16&gt;=1,H16+1,IF(VLOOKUP(B$11,Calculations!$F$367:$G$373,2,FALSE)=WEEKDAY(DATE(YEAR($B$10),MONTH($B$10),1)),1,0)),0))</f>
        <v>0</v>
      </c>
      <c r="C17" s="37">
        <f>IF(IF(DAY(EOMONTH(DATE(Year,MONTH($B$10),1),0))&gt;IF(B17&gt;=1,B17,IF(VLOOKUP(C$11,Calculations!$F$367:$G$373,2,FALSE)=WEEKDAY(DATE(Year,MONTH($B$10),1)),1,0)),IF(B17&gt;=1,B17+1,IF(VLOOKUP(C$11,Calculations!$F$367:$G$373,2,FALSE)=WEEKDAY(DATE(Year,MONTH($B$10),1)),1,0)),0)&lt;C15,0,IF(DAY(EOMONTH(DATE(Year,MONTH($B$10),1),0))&gt;IF(B17&gt;=1,B17,IF(VLOOKUP(C$11,Calculations!$F$367:$G$373,2,FALSE)=WEEKDAY(DATE(Year,MONTH($B$10),1)),1,0)),IF(B17&gt;=1,B17+1,IF(VLOOKUP(C$11,Calculations!$F$367:$G$373,2,FALSE)=WEEKDAY(DATE(Year,MONTH($B$10),1)),1,0)),0))</f>
        <v>0</v>
      </c>
      <c r="D17" s="37">
        <f>IF(IF(DAY(EOMONTH(DATE(Year,MONTH($B$10),1),0))&gt;IF(C17&gt;=1,C17,IF(VLOOKUP(D$11,Calculations!$F$367:$G$373,2,FALSE)=WEEKDAY(DATE(Year,MONTH($B$10),1)),1,0)),IF(C17&gt;=1,C17+1,IF(VLOOKUP(D$11,Calculations!$F$367:$G$373,2,FALSE)=WEEKDAY(DATE(Year,MONTH($B$10),1)),1,0)),0)&lt;D15,0,IF(DAY(EOMONTH(DATE(Year,MONTH($B$10),1),0))&gt;IF(C17&gt;=1,C17,IF(VLOOKUP(D$11,Calculations!$F$367:$G$373,2,FALSE)=WEEKDAY(DATE(Year,MONTH($B$10),1)),1,0)),IF(C17&gt;=1,C17+1,IF(VLOOKUP(D$11,Calculations!$F$367:$G$373,2,FALSE)=WEEKDAY(DATE(Year,MONTH($B$10),1)),1,0)),0))</f>
        <v>0</v>
      </c>
      <c r="E17" s="37">
        <f>IF(IF(DAY(EOMONTH(DATE(Year,MONTH($B$10),1),0))&gt;IF(D17&gt;=1,D17,IF(VLOOKUP(E$11,Calculations!$F$367:$G$373,2,FALSE)=WEEKDAY(DATE(Year,MONTH($B$10),1)),1,0)),IF(D17&gt;=1,D17+1,IF(VLOOKUP(E$11,Calculations!$F$367:$G$373,2,FALSE)=WEEKDAY(DATE(Year,MONTH($B$10),1)),1,0)),0)&lt;E15,0,IF(DAY(EOMONTH(DATE(Year,MONTH($B$10),1),0))&gt;IF(D17&gt;=1,D17,IF(VLOOKUP(E$11,Calculations!$F$367:$G$373,2,FALSE)=WEEKDAY(DATE(Year,MONTH($B$10),1)),1,0)),IF(D17&gt;=1,D17+1,IF(VLOOKUP(E$11,Calculations!$F$367:$G$373,2,FALSE)=WEEKDAY(DATE(Year,MONTH($B$10),1)),1,0)),0))</f>
        <v>0</v>
      </c>
      <c r="F17" s="37">
        <f>IF(IF(DAY(EOMONTH(DATE(Year,MONTH($B$10),1),0))&gt;IF(E17&gt;=1,E17,IF(VLOOKUP(F$11,Calculations!$F$367:$G$373,2,FALSE)=WEEKDAY(DATE(Year,MONTH($B$10),1)),1,0)),IF(E17&gt;=1,E17+1,IF(VLOOKUP(F$11,Calculations!$F$367:$G$373,2,FALSE)=WEEKDAY(DATE(Year,MONTH($B$10),1)),1,0)),0)&lt;F15,0,IF(DAY(EOMONTH(DATE(Year,MONTH($B$10),1),0))&gt;IF(E17&gt;=1,E17,IF(VLOOKUP(F$11,Calculations!$F$367:$G$373,2,FALSE)=WEEKDAY(DATE(Year,MONTH($B$10),1)),1,0)),IF(E17&gt;=1,E17+1,IF(VLOOKUP(F$11,Calculations!$F$367:$G$373,2,FALSE)=WEEKDAY(DATE(Year,MONTH($B$10),1)),1,0)),0))</f>
        <v>0</v>
      </c>
      <c r="G17" s="37">
        <f>IF(IF(DAY(EOMONTH(DATE(Year,MONTH($B$10),1),0))&gt;IF(F17&gt;=1,F17,IF(VLOOKUP(G$11,Calculations!$F$367:$G$373,2,FALSE)=WEEKDAY(DATE(Year,MONTH($B$10),1)),1,0)),IF(F17&gt;=1,F17+1,IF(VLOOKUP(G$11,Calculations!$F$367:$G$373,2,FALSE)=WEEKDAY(DATE(Year,MONTH($B$10),1)),1,0)),0)&lt;G15,0,IF(DAY(EOMONTH(DATE(Year,MONTH($B$10),1),0))&gt;IF(F17&gt;=1,F17,IF(VLOOKUP(G$11,Calculations!$F$367:$G$373,2,FALSE)=WEEKDAY(DATE(Year,MONTH($B$10),1)),1,0)),IF(F17&gt;=1,F17+1,IF(VLOOKUP(G$11,Calculations!$F$367:$G$373,2,FALSE)=WEEKDAY(DATE(Year,MONTH($B$10),1)),1,0)),0))</f>
        <v>0</v>
      </c>
      <c r="H17" s="38">
        <f>IF(IF(DAY(EOMONTH(DATE(Year,MONTH($B$10),1),0))&gt;IF(G17&gt;=1,G17,IF(VLOOKUP(H$11,Calculations!$F$367:$G$373,2,FALSE)=WEEKDAY(DATE(Year,MONTH($B$10),1)),1,0)),IF(G17&gt;=1,G17+1,IF(VLOOKUP(H$11,Calculations!$F$367:$G$373,2,FALSE)=WEEKDAY(DATE(Year,MONTH($B$10),1)),1,0)),0)&lt;H15,0,IF(DAY(EOMONTH(DATE(Year,MONTH($B$10),1),0))&gt;IF(G17&gt;=1,G17,IF(VLOOKUP(H$11,Calculations!$F$367:$G$373,2,FALSE)=WEEKDAY(DATE(Year,MONTH($B$10),1)),1,0)),IF(G17&gt;=1,G17+1,IF(VLOOKUP(H$11,Calculations!$F$367:$G$373,2,FALSE)=WEEKDAY(DATE(Year,MONTH($B$10),1)),1,0)),0))</f>
        <v>0</v>
      </c>
      <c r="I17" s="29"/>
      <c r="J17" s="36">
        <f>IF(IF(DAY(EOMONTH(DATE(YEAR($J$10),MONTH($J$10),1),0))&gt;IF(P16&gt;=1,P16,IF(VLOOKUP(J$11,Calculations!$F$367:$G$373,2,FALSE)=WEEKDAY(DATE(YEAR($J$10),MONTH($J$10),1)),1,0)),IF(P16&gt;=1,P16+1,IF(VLOOKUP(J$11,Calculations!$F$367:$G$373,2,FALSE)=WEEKDAY(DATE(Year,MONTH($J$10),1)),1,0)),0)&lt;J15,0,IF(DAY(EOMONTH(DATE(YEAR($J$10),MONTH($J$10),1),0))&gt;IF(P16&gt;=1,P16,IF(VLOOKUP(J$11,Calculations!$F$367:$G$373,2,FALSE)=WEEKDAY(DATE(YEAR($J$10),MONTH($J$10),1)),1,0)),IF(P16&gt;=1,P16+1,IF(VLOOKUP(J$11,Calculations!$F$367:$G$373,2,FALSE)=WEEKDAY(DATE(YEAR($J$10),MONTH($J$10),1)),1,0)),0))</f>
        <v>0</v>
      </c>
      <c r="K17" s="37">
        <f>IF(IF(DAY(EOMONTH(DATE(Year,MONTH($J$10),1),0))&gt;IF(J17&gt;=1,J17,IF(VLOOKUP(K$11,Calculations!$F$367:$G$373,2,FALSE)=WEEKDAY(DATE(Year,MONTH($J$10),1)),1,0)),IF(J17&gt;=1,J17+1,IF(VLOOKUP(K$11,Calculations!$F$367:$G$373,2,FALSE)=WEEKDAY(DATE(Year,MONTH($J$10),1)),1,0)),0)&lt;K15,0,IF(DAY(EOMONTH(DATE(Year,MONTH($J$10),1),0))&gt;IF(J17&gt;=1,J17,IF(VLOOKUP(K$11,Calculations!$F$367:$G$373,2,FALSE)=WEEKDAY(DATE(Year,MONTH($J$10),1)),1,0)),IF(J17&gt;=1,J17+1,IF(VLOOKUP(K$11,Calculations!$F$367:$G$373,2,FALSE)=WEEKDAY(DATE(Year,MONTH($J$10),1)),1,0)),0))</f>
        <v>0</v>
      </c>
      <c r="L17" s="37">
        <f>IF(IF(DAY(EOMONTH(DATE(Year,MONTH($J$10),1),0))&gt;IF(K17&gt;=1,K17,IF(VLOOKUP(L$11,Calculations!$F$367:$G$373,2,FALSE)=WEEKDAY(DATE(Year,MONTH($J$10),1)),1,0)),IF(K17&gt;=1,K17+1,IF(VLOOKUP(L$11,Calculations!$F$367:$G$373,2,FALSE)=WEEKDAY(DATE(Year,MONTH($J$10),1)),1,0)),0)&lt;L15,0,IF(DAY(EOMONTH(DATE(Year,MONTH($J$10),1),0))&gt;IF(K17&gt;=1,K17,IF(VLOOKUP(L$11,Calculations!$F$367:$G$373,2,FALSE)=WEEKDAY(DATE(Year,MONTH($J$10),1)),1,0)),IF(K17&gt;=1,K17+1,IF(VLOOKUP(L$11,Calculations!$F$367:$G$373,2,FALSE)=WEEKDAY(DATE(Year,MONTH($J$10),1)),1,0)),0))</f>
        <v>0</v>
      </c>
      <c r="M17" s="37">
        <f>IF(IF(DAY(EOMONTH(DATE(Year,MONTH($J$10),1),0))&gt;IF(L17&gt;=1,L17,IF(VLOOKUP(M$11,Calculations!$F$367:$G$373,2,FALSE)=WEEKDAY(DATE(Year,MONTH($J$10),1)),1,0)),IF(L17&gt;=1,L17+1,IF(VLOOKUP(M$11,Calculations!$F$367:$G$373,2,FALSE)=WEEKDAY(DATE(Year,MONTH($J$10),1)),1,0)),0)&lt;M15,0,IF(DAY(EOMONTH(DATE(Year,MONTH($J$10),1),0))&gt;IF(L17&gt;=1,L17,IF(VLOOKUP(M$11,Calculations!$F$367:$G$373,2,FALSE)=WEEKDAY(DATE(Year,MONTH($J$10),1)),1,0)),IF(L17&gt;=1,L17+1,IF(VLOOKUP(M$11,Calculations!$F$367:$G$373,2,FALSE)=WEEKDAY(DATE(Year,MONTH($J$10),1)),1,0)),0))</f>
        <v>0</v>
      </c>
      <c r="N17" s="37">
        <f>IF(IF(DAY(EOMONTH(DATE(Year,MONTH($J$10),1),0))&gt;IF(M17&gt;=1,M17,IF(VLOOKUP(N$11,Calculations!$F$367:$G$373,2,FALSE)=WEEKDAY(DATE(Year,MONTH($J$10),1)),1,0)),IF(M17&gt;=1,M17+1,IF(VLOOKUP(N$11,Calculations!$F$367:$G$373,2,FALSE)=WEEKDAY(DATE(Year,MONTH($J$10),1)),1,0)),0)&lt;N15,0,IF(DAY(EOMONTH(DATE(Year,MONTH($J$10),1),0))&gt;IF(M17&gt;=1,M17,IF(VLOOKUP(N$11,Calculations!$F$367:$G$373,2,FALSE)=WEEKDAY(DATE(Year,MONTH($J$10),1)),1,0)),IF(M17&gt;=1,M17+1,IF(VLOOKUP(N$11,Calculations!$F$367:$G$373,2,FALSE)=WEEKDAY(DATE(Year,MONTH($J$10),1)),1,0)),0))</f>
        <v>0</v>
      </c>
      <c r="O17" s="37">
        <f>IF(IF(DAY(EOMONTH(DATE(Year,MONTH($J$10),1),0))&gt;IF(N17&gt;=1,N17,IF(VLOOKUP(O$11,Calculations!$F$367:$G$373,2,FALSE)=WEEKDAY(DATE(Year,MONTH($J$10),1)),1,0)),IF(N17&gt;=1,N17+1,IF(VLOOKUP(O$11,Calculations!$F$367:$G$373,2,FALSE)=WEEKDAY(DATE(Year,MONTH($J$10),1)),1,0)),0)&lt;O15,0,IF(DAY(EOMONTH(DATE(Year,MONTH($J$10),1),0))&gt;IF(N17&gt;=1,N17,IF(VLOOKUP(O$11,Calculations!$F$367:$G$373,2,FALSE)=WEEKDAY(DATE(Year,MONTH($J$10),1)),1,0)),IF(N17&gt;=1,N17+1,IF(VLOOKUP(O$11,Calculations!$F$367:$G$373,2,FALSE)=WEEKDAY(DATE(Year,MONTH($J$10),1)),1,0)),0))</f>
        <v>0</v>
      </c>
      <c r="P17" s="38">
        <f>IF(IF(DAY(EOMONTH(DATE(Year,MONTH($J$10),1),0))&gt;IF(O17&gt;=1,O17,IF(VLOOKUP(P$11,Calculations!$F$367:$G$373,2,FALSE)=WEEKDAY(DATE(Year,MONTH($J$10),1)),1,0)),IF(O17&gt;=1,O17+1,IF(VLOOKUP(P$11,Calculations!$F$367:$G$373,2,FALSE)=WEEKDAY(DATE(Year,MONTH($J$10),1)),1,0)),0)&lt;P15,0,IF(DAY(EOMONTH(DATE(Year,MONTH($J$10),1),0))&gt;IF(O17&gt;=1,O17,IF(VLOOKUP(P$11,Calculations!$F$367:$G$373,2,FALSE)=WEEKDAY(DATE(Year,MONTH($J$10),1)),1,0)),IF(O17&gt;=1,O17+1,IF(VLOOKUP(P$11,Calculations!$F$367:$G$373,2,FALSE)=WEEKDAY(DATE(Year,MONTH($J$10),1)),1,0)),0))</f>
        <v>0</v>
      </c>
      <c r="Q17" s="5"/>
      <c r="S17" s="28"/>
      <c r="T17" s="43"/>
      <c r="U17" s="43"/>
      <c r="V17" s="44" t="s">
        <v>76</v>
      </c>
      <c r="Z17" s="12" t="s">
        <v>93</v>
      </c>
      <c r="AA17" s="14">
        <v>0.5</v>
      </c>
    </row>
    <row r="18" spans="2:33" ht="16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T18" s="4"/>
      <c r="U18" s="4"/>
      <c r="Z18" s="12" t="s">
        <v>91</v>
      </c>
      <c r="AA18" s="11" t="str">
        <f>IF(AA22=0,"Sunday",IF(AA22=1,"Monday",IF(AA22=2,"Tuesday",IF(AA22=3,"Wednesday",IF(AA22=4,"Thursday",IF(AA22=5,"Friday","Saturday"))))))</f>
        <v>Saturday</v>
      </c>
    </row>
    <row r="19" spans="2:33" ht="16" customHeight="1" x14ac:dyDescent="0.15">
      <c r="Z19" s="12" t="s">
        <v>84</v>
      </c>
      <c r="AA19" s="13">
        <f>Calculations!E341</f>
        <v>2460498</v>
      </c>
    </row>
    <row r="20" spans="2:33" ht="16" customHeight="1" x14ac:dyDescent="0.15">
      <c r="Z20" s="12" t="s">
        <v>81</v>
      </c>
      <c r="AA20" s="11" t="str">
        <f>IF(MOD(YEAR(AA16),4)=0,IF(MOD(YEAR(AA16),400)&gt;0,"Yes","No"),"No")</f>
        <v>Yes</v>
      </c>
    </row>
    <row r="21" spans="2:33" ht="16" customHeight="1" x14ac:dyDescent="0.15">
      <c r="Z21" s="10" t="s">
        <v>79</v>
      </c>
      <c r="AA21" s="9">
        <f>INT(275*MONTH(AA16)/9)-(IF(MOD(YEAR(AA16),4)=0,IF(MOD(YEAR(AA16),400)&gt;0,1,2),2))*INT((MONTH(AA16)+9)/12)+DAY(AA16)-30</f>
        <v>188</v>
      </c>
    </row>
    <row r="22" spans="2:33" ht="16" customHeight="1" x14ac:dyDescent="0.25">
      <c r="K22" s="138" t="s">
        <v>139</v>
      </c>
      <c r="L22" s="139"/>
      <c r="M22" s="139"/>
      <c r="N22" s="139"/>
      <c r="O22" s="139"/>
      <c r="P22" s="139"/>
      <c r="Q22" s="139"/>
      <c r="R22" s="139"/>
      <c r="S22" s="140"/>
      <c r="AA22" s="6">
        <f>INT(MOD((AA19+1.5),7))</f>
        <v>6</v>
      </c>
      <c r="AF22" s="122"/>
      <c r="AG22" s="122"/>
    </row>
    <row r="23" spans="2:33" ht="16" customHeight="1" x14ac:dyDescent="0.2">
      <c r="K23" s="141" t="str">
        <f>VLOOKUP(Calculations!C112,Calculations!N366:O374,2,TRUE)</f>
        <v>New moon</v>
      </c>
      <c r="L23" s="142"/>
      <c r="M23" s="142"/>
      <c r="N23" s="142"/>
      <c r="O23" s="142"/>
      <c r="P23" s="142"/>
      <c r="Q23" s="142"/>
      <c r="R23" s="24"/>
      <c r="S23" s="25" t="str">
        <f>CONCATENATE("(",TEXT(AA32,"0.0%"),")")</f>
        <v>(0.3%)</v>
      </c>
      <c r="AF23" s="122"/>
      <c r="AG23" s="122"/>
    </row>
    <row r="24" spans="2:33" ht="16" customHeight="1" x14ac:dyDescent="0.15">
      <c r="AF24" s="122"/>
      <c r="AG24" s="122"/>
    </row>
    <row r="25" spans="2:33" ht="16" customHeight="1" x14ac:dyDescent="0.2">
      <c r="Z25" s="26" t="s">
        <v>141</v>
      </c>
      <c r="AA25" s="118">
        <f>PI()/180</f>
        <v>1.7453292519943295E-2</v>
      </c>
      <c r="AF25" s="122"/>
      <c r="AG25" s="122"/>
    </row>
    <row r="26" spans="2:33" ht="16" customHeight="1" x14ac:dyDescent="0.2">
      <c r="Z26" s="20" t="s">
        <v>143</v>
      </c>
      <c r="AA26" s="119">
        <f>AA19-2451545</f>
        <v>8953</v>
      </c>
      <c r="AF26" s="122"/>
    </row>
    <row r="27" spans="2:33" ht="16" customHeight="1" x14ac:dyDescent="0.2">
      <c r="Z27" s="20" t="s">
        <v>46</v>
      </c>
      <c r="AA27" s="119">
        <f>AA26/36525</f>
        <v>0.24511978097193704</v>
      </c>
    </row>
    <row r="28" spans="2:33" ht="16" customHeight="1" x14ac:dyDescent="0.2">
      <c r="Z28" s="20" t="s">
        <v>58</v>
      </c>
      <c r="AA28" s="119">
        <f>MOD(297.8502042+445267.1115168*$AA$27-0.00163*POWER($AA$27,2)+(POWER($AA$27,3)/545868)-(POWER($AA$27,4)/113065000),360)</f>
        <v>1.6269552955927793</v>
      </c>
    </row>
    <row r="29" spans="2:33" ht="16" customHeight="1" x14ac:dyDescent="0.2">
      <c r="Z29" s="20" t="s">
        <v>47</v>
      </c>
      <c r="AA29" s="119">
        <f>MOD(357.5291092+35999.0502909*$AA$27-0.0001536*POWER($AA$27,2)+(POWER($AA$27,3)/24490000),360)</f>
        <v>181.60842247489927</v>
      </c>
    </row>
    <row r="30" spans="2:33" ht="16" customHeight="1" x14ac:dyDescent="0.2">
      <c r="Z30" s="20" t="s">
        <v>57</v>
      </c>
      <c r="AA30" s="119">
        <f>MOD(134.9634114+477198.8676313*$AA$27+0.008997*POWER($AA$27,2)+(POWER($AA$27,3)/69699)-(POWER($AA$27,4)/14712000),360)</f>
        <v>105.84586602479976</v>
      </c>
    </row>
    <row r="31" spans="2:33" ht="16" customHeight="1" x14ac:dyDescent="0.2">
      <c r="Z31" s="20" t="s">
        <v>142</v>
      </c>
      <c r="AA31" s="119">
        <f>180-AA28-6.289*SIN($AA$25*AA30)+2.1*SIN($AA$25*AA29)-1.274*SIN($AA$25*(2*AA28-AA30))-0.658*SIN($AA$25*2*AA28)-0.214*SIN($AA$25*2*AA30)-0.11*SIN($AA$25*AA28)</f>
        <v>173.57939425565385</v>
      </c>
    </row>
    <row r="32" spans="2:33" ht="16" customHeight="1" x14ac:dyDescent="0.2">
      <c r="Z32" s="23" t="s">
        <v>105</v>
      </c>
      <c r="AA32" s="120">
        <f>(1+COS($AA$25*AA31))/2</f>
        <v>3.1361167892269282E-3</v>
      </c>
    </row>
    <row r="33" spans="26:27" ht="16" customHeight="1" x14ac:dyDescent="0.2">
      <c r="Z33" s="26" t="s">
        <v>145</v>
      </c>
      <c r="AA33" s="27" t="str">
        <f>IF(AA19&lt;AH11,"before FM","after FM")</f>
        <v>before FM</v>
      </c>
    </row>
    <row r="34" spans="26:27" ht="16" customHeight="1" x14ac:dyDescent="0.2">
      <c r="Z34" s="23" t="s">
        <v>144</v>
      </c>
      <c r="AA34" s="121">
        <f>IF(AA33="before FM",180*AA32,360-180*AA32)</f>
        <v>0.56450102206084707</v>
      </c>
    </row>
    <row r="35" spans="26:27" ht="16" customHeight="1" x14ac:dyDescent="0.15"/>
    <row r="36" spans="26:27" ht="16" customHeight="1" x14ac:dyDescent="0.15"/>
    <row r="37" spans="26:27" ht="16" customHeight="1" x14ac:dyDescent="0.15"/>
    <row r="38" spans="26:27" ht="16" customHeight="1" x14ac:dyDescent="0.15"/>
    <row r="39" spans="26:27" ht="16" customHeight="1" x14ac:dyDescent="0.15"/>
    <row r="40" spans="26:27" ht="16" customHeight="1" x14ac:dyDescent="0.15"/>
    <row r="41" spans="26:27" ht="16" customHeight="1" x14ac:dyDescent="0.15">
      <c r="Z41" s="122"/>
    </row>
    <row r="42" spans="26:27" ht="16" customHeight="1" x14ac:dyDescent="0.15"/>
    <row r="43" spans="26:27" ht="16" customHeight="1" x14ac:dyDescent="0.15"/>
    <row r="44" spans="26:27" ht="16" customHeight="1" x14ac:dyDescent="0.15"/>
    <row r="45" spans="26:27" ht="16" customHeight="1" x14ac:dyDescent="0.15"/>
    <row r="46" spans="26:27" ht="16" customHeight="1" x14ac:dyDescent="0.15"/>
    <row r="47" spans="26:27" ht="16" customHeight="1" x14ac:dyDescent="0.15"/>
    <row r="48" spans="26:27" ht="16" customHeight="1" x14ac:dyDescent="0.15"/>
    <row r="49" ht="16" customHeight="1" x14ac:dyDescent="0.15"/>
    <row r="50" ht="16" customHeight="1" x14ac:dyDescent="0.15"/>
    <row r="51" ht="16" customHeight="1" x14ac:dyDescent="0.15"/>
    <row r="52" ht="16" customHeight="1" x14ac:dyDescent="0.15"/>
    <row r="53" ht="16" customHeight="1" x14ac:dyDescent="0.15"/>
    <row r="54" ht="16" customHeight="1" x14ac:dyDescent="0.15"/>
    <row r="55" ht="16" customHeight="1" x14ac:dyDescent="0.15"/>
    <row r="56" ht="16" customHeight="1" x14ac:dyDescent="0.15"/>
    <row r="57" ht="16" customHeight="1" x14ac:dyDescent="0.15"/>
    <row r="58" ht="16" customHeight="1" x14ac:dyDescent="0.15"/>
    <row r="59" ht="16" customHeight="1" x14ac:dyDescent="0.15"/>
    <row r="60" ht="16" customHeight="1" x14ac:dyDescent="0.15"/>
    <row r="61" ht="16" customHeight="1" x14ac:dyDescent="0.15"/>
    <row r="62" ht="16" customHeight="1" x14ac:dyDescent="0.15"/>
    <row r="63" ht="16" customHeight="1" x14ac:dyDescent="0.15"/>
    <row r="64" ht="16" customHeight="1" x14ac:dyDescent="0.15"/>
    <row r="65" ht="16" customHeight="1" x14ac:dyDescent="0.15"/>
    <row r="66" ht="16" customHeight="1" x14ac:dyDescent="0.15"/>
    <row r="67" ht="16" customHeight="1" x14ac:dyDescent="0.15"/>
    <row r="68" ht="16" customHeight="1" x14ac:dyDescent="0.15"/>
    <row r="69" ht="16" customHeight="1" x14ac:dyDescent="0.15"/>
    <row r="70" ht="16" customHeight="1" x14ac:dyDescent="0.15"/>
    <row r="71" ht="16" customHeight="1" x14ac:dyDescent="0.15"/>
    <row r="72" ht="16" customHeight="1" x14ac:dyDescent="0.15"/>
    <row r="73" ht="16" customHeight="1" x14ac:dyDescent="0.15"/>
    <row r="74" ht="16" customHeight="1" x14ac:dyDescent="0.15"/>
    <row r="75" ht="16" customHeight="1" x14ac:dyDescent="0.15"/>
    <row r="76" ht="16" customHeight="1" x14ac:dyDescent="0.15"/>
    <row r="77" ht="16" customHeight="1" x14ac:dyDescent="0.15"/>
    <row r="78" ht="16" customHeight="1" x14ac:dyDescent="0.15"/>
    <row r="79" ht="16" customHeight="1" x14ac:dyDescent="0.15"/>
    <row r="80" ht="16" customHeight="1" x14ac:dyDescent="0.15"/>
    <row r="81" ht="16" customHeight="1" x14ac:dyDescent="0.15"/>
    <row r="82" ht="16" customHeight="1" x14ac:dyDescent="0.15"/>
    <row r="83" ht="16" customHeight="1" x14ac:dyDescent="0.15"/>
    <row r="84" ht="16" customHeight="1" x14ac:dyDescent="0.15"/>
    <row r="85" ht="16" customHeight="1" x14ac:dyDescent="0.15"/>
    <row r="86" ht="16" customHeight="1" x14ac:dyDescent="0.15"/>
    <row r="87" ht="16" customHeight="1" x14ac:dyDescent="0.15"/>
    <row r="88" ht="16" customHeight="1" x14ac:dyDescent="0.15"/>
    <row r="89" ht="16" customHeight="1" x14ac:dyDescent="0.15"/>
    <row r="90" ht="16" customHeight="1" x14ac:dyDescent="0.15"/>
    <row r="91" ht="16" customHeight="1" x14ac:dyDescent="0.15"/>
    <row r="92" ht="16" customHeight="1" x14ac:dyDescent="0.15"/>
    <row r="93" ht="16" customHeight="1" x14ac:dyDescent="0.15"/>
    <row r="94" ht="16" customHeight="1" x14ac:dyDescent="0.15"/>
    <row r="95" ht="16" customHeight="1" x14ac:dyDescent="0.15"/>
    <row r="96" ht="16" customHeight="1" x14ac:dyDescent="0.15"/>
    <row r="97" ht="16" customHeight="1" x14ac:dyDescent="0.15"/>
    <row r="98" ht="16" customHeight="1" x14ac:dyDescent="0.15"/>
    <row r="99" ht="16" customHeight="1" x14ac:dyDescent="0.15"/>
    <row r="100" ht="16" customHeight="1" x14ac:dyDescent="0.15"/>
    <row r="101" ht="16" customHeight="1" x14ac:dyDescent="0.15"/>
    <row r="102" ht="16" customHeight="1" x14ac:dyDescent="0.15"/>
    <row r="103" ht="16" customHeight="1" x14ac:dyDescent="0.15"/>
    <row r="104" ht="16" customHeight="1" x14ac:dyDescent="0.15"/>
    <row r="105" ht="16" customHeight="1" x14ac:dyDescent="0.15"/>
    <row r="106" ht="16" customHeight="1" x14ac:dyDescent="0.15"/>
    <row r="107" ht="16" customHeight="1" x14ac:dyDescent="0.15"/>
    <row r="108" ht="16" customHeight="1" x14ac:dyDescent="0.15"/>
    <row r="109" ht="16" customHeight="1" x14ac:dyDescent="0.15"/>
    <row r="110" ht="16" customHeight="1" x14ac:dyDescent="0.15"/>
    <row r="111" ht="16" customHeight="1" x14ac:dyDescent="0.15"/>
    <row r="112" ht="16" customHeight="1" x14ac:dyDescent="0.15"/>
    <row r="113" ht="16" customHeight="1" x14ac:dyDescent="0.15"/>
    <row r="114" ht="16" customHeight="1" x14ac:dyDescent="0.15"/>
    <row r="115" ht="16" customHeight="1" x14ac:dyDescent="0.15"/>
    <row r="116" ht="16" customHeight="1" x14ac:dyDescent="0.15"/>
    <row r="117" ht="16" customHeight="1" x14ac:dyDescent="0.15"/>
    <row r="118" ht="16" customHeight="1" x14ac:dyDescent="0.15"/>
    <row r="119" ht="16" customHeight="1" x14ac:dyDescent="0.15"/>
    <row r="120" ht="16" customHeight="1" x14ac:dyDescent="0.15"/>
    <row r="121" ht="16" customHeight="1" x14ac:dyDescent="0.15"/>
    <row r="122" ht="16" customHeight="1" x14ac:dyDescent="0.15"/>
    <row r="123" ht="16" customHeight="1" x14ac:dyDescent="0.15"/>
    <row r="124" ht="16" customHeight="1" x14ac:dyDescent="0.15"/>
    <row r="125" ht="16" customHeight="1" x14ac:dyDescent="0.15"/>
    <row r="126" ht="16" customHeight="1" x14ac:dyDescent="0.15"/>
    <row r="127" ht="16" customHeight="1" x14ac:dyDescent="0.15"/>
    <row r="128" ht="16" customHeight="1" x14ac:dyDescent="0.15"/>
    <row r="129" ht="16" customHeight="1" x14ac:dyDescent="0.15"/>
    <row r="130" ht="16" customHeight="1" x14ac:dyDescent="0.15"/>
    <row r="131" ht="16" customHeight="1" x14ac:dyDescent="0.15"/>
    <row r="132" ht="16" customHeight="1" x14ac:dyDescent="0.15"/>
    <row r="133" ht="16" customHeight="1" x14ac:dyDescent="0.15"/>
    <row r="134" ht="16" customHeight="1" x14ac:dyDescent="0.15"/>
    <row r="135" ht="16" customHeight="1" x14ac:dyDescent="0.15"/>
    <row r="136" ht="16" customHeight="1" x14ac:dyDescent="0.15"/>
    <row r="137" ht="16" customHeight="1" x14ac:dyDescent="0.15"/>
    <row r="138" ht="16" customHeight="1" x14ac:dyDescent="0.15"/>
    <row r="139" ht="16" customHeight="1" x14ac:dyDescent="0.15"/>
    <row r="140" ht="16" customHeight="1" x14ac:dyDescent="0.15"/>
    <row r="141" ht="16" customHeight="1" x14ac:dyDescent="0.15"/>
    <row r="142" ht="16" customHeight="1" x14ac:dyDescent="0.15"/>
    <row r="143" ht="16" customHeight="1" x14ac:dyDescent="0.15"/>
    <row r="144" ht="16" customHeight="1" x14ac:dyDescent="0.15"/>
    <row r="145" ht="16" customHeight="1" x14ac:dyDescent="0.15"/>
    <row r="146" ht="16" customHeight="1" x14ac:dyDescent="0.15"/>
    <row r="147" ht="16" customHeight="1" x14ac:dyDescent="0.15"/>
    <row r="148" ht="16" customHeight="1" x14ac:dyDescent="0.15"/>
    <row r="149" ht="16" customHeight="1" x14ac:dyDescent="0.15"/>
    <row r="150" ht="16" customHeight="1" x14ac:dyDescent="0.15"/>
    <row r="151" ht="16" customHeight="1" x14ac:dyDescent="0.15"/>
  </sheetData>
  <sheetProtection sheet="1" objects="1" scenarios="1"/>
  <mergeCells count="20">
    <mergeCell ref="B3:D3"/>
    <mergeCell ref="E3:G3"/>
    <mergeCell ref="Z15:AA15"/>
    <mergeCell ref="K22:S22"/>
    <mergeCell ref="K23:Q23"/>
    <mergeCell ref="B4:D4"/>
    <mergeCell ref="E4:G4"/>
    <mergeCell ref="B10:H10"/>
    <mergeCell ref="J10:P10"/>
    <mergeCell ref="B7:V7"/>
    <mergeCell ref="B8:Q9"/>
    <mergeCell ref="B5:D5"/>
    <mergeCell ref="E5:G5"/>
    <mergeCell ref="AK7:AL7"/>
    <mergeCell ref="E2:G2"/>
    <mergeCell ref="Z7:AA7"/>
    <mergeCell ref="AC7:AD7"/>
    <mergeCell ref="AE7:AF7"/>
    <mergeCell ref="AG7:AH7"/>
    <mergeCell ref="AI7:AJ7"/>
  </mergeCells>
  <conditionalFormatting sqref="B12:H17">
    <cfRule type="expression" dxfId="11" priority="4" stopIfTrue="1">
      <formula>NOT(ISERROR(MATCH(DATE(YEAR($B$10),MONTH($B$10),DAY(B12)),$T$13,0)))</formula>
    </cfRule>
    <cfRule type="expression" dxfId="10" priority="5" stopIfTrue="1">
      <formula>NOT(ISERROR(MATCH(DATE(YEAR($B$10),MONTH($B$10),DAY(B12)),$T$12,0)))</formula>
    </cfRule>
    <cfRule type="expression" dxfId="9" priority="6" stopIfTrue="1">
      <formula>NOT(ISERROR(MATCH(DATE(YEAR($B$10),MONTH($B$10),DAY(B12)),$T$14,0)))</formula>
    </cfRule>
    <cfRule type="cellIs" dxfId="8" priority="7" stopIfTrue="1" operator="equal">
      <formula>0</formula>
    </cfRule>
    <cfRule type="expression" dxfId="7" priority="10" stopIfTrue="1">
      <formula>NOT(ISERROR(MATCH(DATE(YEAR($B$10),MONTH($B$10),DAY(B12)),KeyDates,0)))</formula>
    </cfRule>
  </conditionalFormatting>
  <conditionalFormatting sqref="J12:P17">
    <cfRule type="cellIs" dxfId="6" priority="17" stopIfTrue="1" operator="equal">
      <formula>0</formula>
    </cfRule>
    <cfRule type="expression" dxfId="5" priority="18" stopIfTrue="1">
      <formula>NOT(ISERROR(MATCH(DATE(YEAR($J$10),MONTH($J$10),DAY(J12)),$T$13,0)))</formula>
    </cfRule>
    <cfRule type="expression" dxfId="4" priority="19" stopIfTrue="1">
      <formula>NOT(ISERROR(MATCH(DATE(YEAR($J$10),MONTH($J$10),DAY(J12)),$T$102)))</formula>
    </cfRule>
    <cfRule type="expression" dxfId="3" priority="20" stopIfTrue="1">
      <formula>NOT(ISERROR(MATCH(DATE(YEAR($J$10),MONTH($J$10),DAY(J12)),$T$14,0)))</formula>
    </cfRule>
    <cfRule type="expression" dxfId="2" priority="21" stopIfTrue="1">
      <formula>NOT(ISERROR(MATCH(DATE(YEAR($J$10),MONTH($J$10),DAY(J12)),KeyDates,0)))</formula>
    </cfRule>
  </conditionalFormatting>
  <conditionalFormatting sqref="T11:T15 T16:U18">
    <cfRule type="expression" dxfId="1" priority="11" stopIfTrue="1">
      <formula>IF(T11&gt;0,IF(AND(T11&gt;DATE($E$4,MONTH($B$10),1),T11&lt;DATE($E$4,MONTH($B$10)+12,1)),"FALSE","TRUE"))</formula>
    </cfRule>
  </conditionalFormatting>
  <pageMargins left="0.7" right="0.7" top="0.75" bottom="0.75" header="0.3" footer="0.3"/>
  <pageSetup scale="7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A7E5-58FC-4447-B771-1726E93F5FFA}">
  <dimension ref="B2:AX397"/>
  <sheetViews>
    <sheetView showGridLines="0" workbookViewId="0">
      <selection activeCell="F383" sqref="F383"/>
    </sheetView>
  </sheetViews>
  <sheetFormatPr baseColWidth="10" defaultRowHeight="16" x14ac:dyDescent="0.2"/>
  <cols>
    <col min="1" max="1" width="10.83203125" style="63"/>
    <col min="2" max="53" width="15.6640625" style="63" customWidth="1"/>
    <col min="54" max="16384" width="10.83203125" style="63"/>
  </cols>
  <sheetData>
    <row r="2" spans="2:44" x14ac:dyDescent="0.2">
      <c r="B2" s="64" t="s">
        <v>129</v>
      </c>
      <c r="C2" s="64"/>
      <c r="D2" s="64"/>
      <c r="E2" s="64"/>
      <c r="F2" s="64"/>
      <c r="G2" s="65"/>
      <c r="H2" s="65"/>
      <c r="I2" s="65"/>
      <c r="J2" s="65"/>
      <c r="K2" s="65"/>
    </row>
    <row r="4" spans="2:44" x14ac:dyDescent="0.2">
      <c r="B4" s="66" t="s">
        <v>141</v>
      </c>
      <c r="C4" s="67">
        <f>PI()/180</f>
        <v>1.7453292519943295E-2</v>
      </c>
    </row>
    <row r="6" spans="2:44" x14ac:dyDescent="0.2">
      <c r="B6" s="68" t="s">
        <v>0</v>
      </c>
      <c r="C6" s="69">
        <f>'Moon Phases'!H4</f>
        <v>2024</v>
      </c>
    </row>
    <row r="7" spans="2:44" x14ac:dyDescent="0.2">
      <c r="B7" s="70" t="s">
        <v>81</v>
      </c>
      <c r="C7" s="71" t="str">
        <f>'Moon Phases'!AA12</f>
        <v>Yes</v>
      </c>
    </row>
    <row r="8" spans="2:44" x14ac:dyDescent="0.2">
      <c r="B8" s="70" t="s">
        <v>79</v>
      </c>
      <c r="C8" s="72">
        <f>'Moon Phases'!AA13</f>
        <v>183</v>
      </c>
    </row>
    <row r="9" spans="2:44" x14ac:dyDescent="0.2">
      <c r="B9" s="73" t="s">
        <v>128</v>
      </c>
      <c r="C9" s="74">
        <f>C6+IF(C7="Yes",C8/366.25,C8/365.25)</f>
        <v>2024.4996587030716</v>
      </c>
    </row>
    <row r="12" spans="2:44" x14ac:dyDescent="0.2">
      <c r="B12" s="65" t="s">
        <v>77</v>
      </c>
      <c r="L12" s="65" t="s">
        <v>82</v>
      </c>
      <c r="V12" s="65" t="s">
        <v>80</v>
      </c>
      <c r="AF12" s="65" t="s">
        <v>94</v>
      </c>
      <c r="AP12" s="65" t="s">
        <v>77</v>
      </c>
    </row>
    <row r="14" spans="2:44" x14ac:dyDescent="0.2">
      <c r="B14" s="68" t="s">
        <v>105</v>
      </c>
      <c r="C14" s="75">
        <f>ROUND(($C$9-2000)*12.3685,0)+VLOOKUP(B12,B102:C105,2,FALSE)</f>
        <v>303</v>
      </c>
      <c r="D14" s="63" t="s">
        <v>127</v>
      </c>
      <c r="L14" s="68" t="s">
        <v>105</v>
      </c>
      <c r="M14" s="75">
        <f>ROUND(($C$9-2000)*12.3685,0)+VLOOKUP(L12,L102:M105,2,FALSE)</f>
        <v>303.25</v>
      </c>
      <c r="N14" s="63" t="s">
        <v>127</v>
      </c>
      <c r="V14" s="68" t="s">
        <v>105</v>
      </c>
      <c r="W14" s="75">
        <f>ROUND(($C$9-2000)*12.3685,0)+VLOOKUP(V12,V102:W105,2,FALSE)</f>
        <v>303.5</v>
      </c>
      <c r="X14" s="63" t="s">
        <v>127</v>
      </c>
      <c r="AF14" s="68" t="s">
        <v>105</v>
      </c>
      <c r="AG14" s="75">
        <f>ROUND(($C$9-2000)*12.3685,0)+VLOOKUP(AF12,AF102:AG105,2,FALSE)</f>
        <v>303.75</v>
      </c>
      <c r="AH14" s="63" t="s">
        <v>127</v>
      </c>
      <c r="AP14" s="68" t="s">
        <v>105</v>
      </c>
      <c r="AQ14" s="75">
        <f>ROUND(($C$9-2000)*12.3685,0)+VLOOKUP(AP12,AP102:AQ105,2,FALSE)+1</f>
        <v>304</v>
      </c>
      <c r="AR14" s="63" t="s">
        <v>127</v>
      </c>
    </row>
    <row r="15" spans="2:44" x14ac:dyDescent="0.2">
      <c r="B15" s="70" t="s">
        <v>46</v>
      </c>
      <c r="C15" s="76">
        <f>C14/1236.85</f>
        <v>0.24497715972025713</v>
      </c>
      <c r="L15" s="70" t="s">
        <v>46</v>
      </c>
      <c r="M15" s="76">
        <f>M14/1236.85</f>
        <v>0.24517928608966327</v>
      </c>
      <c r="V15" s="70" t="s">
        <v>46</v>
      </c>
      <c r="W15" s="76">
        <f>W14/1236.85</f>
        <v>0.24538141245906941</v>
      </c>
      <c r="AF15" s="70" t="s">
        <v>46</v>
      </c>
      <c r="AG15" s="76">
        <f>AG14/1236.85</f>
        <v>0.24558353882847558</v>
      </c>
      <c r="AP15" s="70" t="s">
        <v>46</v>
      </c>
      <c r="AQ15" s="76">
        <f>AQ14/1236.85</f>
        <v>0.24578566519788173</v>
      </c>
    </row>
    <row r="16" spans="2:44" x14ac:dyDescent="0.2">
      <c r="B16" s="70" t="s">
        <v>54</v>
      </c>
      <c r="C16" s="76">
        <f>1-0.002516*C15-0.0000074*POWER(C15,2)</f>
        <v>0.99938319336395876</v>
      </c>
      <c r="L16" s="70" t="s">
        <v>54</v>
      </c>
      <c r="M16" s="76">
        <f>1-0.002516*M15-0.0000074*POWER(M15,2)</f>
        <v>0.99938268408086917</v>
      </c>
      <c r="V16" s="70" t="s">
        <v>54</v>
      </c>
      <c r="W16" s="76">
        <f>1-0.002516*W15-0.0000074*POWER(W15,2)</f>
        <v>0.99938217479717495</v>
      </c>
      <c r="AF16" s="70" t="s">
        <v>54</v>
      </c>
      <c r="AG16" s="76">
        <f>1-0.002516*AG15-0.0000074*POWER(AG15,2)</f>
        <v>0.99938166551287588</v>
      </c>
      <c r="AP16" s="70" t="s">
        <v>54</v>
      </c>
      <c r="AQ16" s="76">
        <f>1-0.002516*AQ15-0.0000074*POWER(AQ15,2)</f>
        <v>0.99938115622797241</v>
      </c>
    </row>
    <row r="17" spans="2:49" x14ac:dyDescent="0.2">
      <c r="B17" s="73" t="s">
        <v>126</v>
      </c>
      <c r="C17" s="74">
        <f>2451550.09765+29.530588853*C14+0.0001337*POWER(C15,2)-0.00000015*POWER(C15,3)+0.00000000073*POWER(C15,4)</f>
        <v>2460497.8660804802</v>
      </c>
      <c r="L17" s="73" t="s">
        <v>126</v>
      </c>
      <c r="M17" s="74">
        <f>2451550.09765+29.530588853*M14+0.0001337*POWER(M15,2)-0.00000015*POWER(M15,3)+0.00000000073*POWER(M15,4)</f>
        <v>2460505.2487277072</v>
      </c>
      <c r="V17" s="73" t="s">
        <v>126</v>
      </c>
      <c r="W17" s="74">
        <f>2451550.09765+29.530588853*W14+0.0001337*POWER(W15,2)-0.00000015*POWER(W15,3)+0.00000000073*POWER(W15,4)</f>
        <v>2460512.6313749333</v>
      </c>
      <c r="AF17" s="73" t="s">
        <v>126</v>
      </c>
      <c r="AG17" s="74">
        <f>2451550.09765+29.530588853*AG14+0.0001337*POWER(AG15,2)-0.00000015*POWER(AG15,3)+0.00000000073*POWER(AG15,4)</f>
        <v>2460520.0140221599</v>
      </c>
      <c r="AP17" s="73" t="s">
        <v>126</v>
      </c>
      <c r="AQ17" s="74">
        <f>2451550.09765+29.530588853*AQ14+0.0001337*POWER(AQ15,2)-0.00000015*POWER(AQ15,3)+0.00000000073*POWER(AQ15,4)</f>
        <v>2460527.3966693864</v>
      </c>
    </row>
    <row r="19" spans="2:49" x14ac:dyDescent="0.2">
      <c r="B19" s="68" t="s">
        <v>125</v>
      </c>
      <c r="C19" s="77">
        <f>MOD(D19,360)</f>
        <v>181.47647576008239</v>
      </c>
      <c r="D19" s="77">
        <f>E19+F19*C$14+G19*POWER(C$15,2)+H19*POWER(C$15,3)+I19*POWER(C$15,4)</f>
        <v>8821.4764757600824</v>
      </c>
      <c r="E19" s="77">
        <v>2.5533999999999999</v>
      </c>
      <c r="F19" s="77">
        <v>29.105356690000001</v>
      </c>
      <c r="G19" s="77">
        <v>-2.1800000000000001E-5</v>
      </c>
      <c r="H19" s="77">
        <v>-1.1000000000000001E-7</v>
      </c>
      <c r="I19" s="75">
        <v>0</v>
      </c>
      <c r="L19" s="68" t="s">
        <v>125</v>
      </c>
      <c r="M19" s="77">
        <f>MOD(N19,360)</f>
        <v>188.75281493041985</v>
      </c>
      <c r="N19" s="77">
        <f>O19+P19*M$14+Q19*POWER(M$15,2)+R19*POWER(M$15,3)+S19*POWER(M$15,4)</f>
        <v>8828.7528149304198</v>
      </c>
      <c r="O19" s="77">
        <v>2.5533999999999999</v>
      </c>
      <c r="P19" s="77">
        <v>29.105356690000001</v>
      </c>
      <c r="Q19" s="77">
        <v>-2.1800000000000001E-5</v>
      </c>
      <c r="R19" s="77">
        <v>-1.1000000000000001E-7</v>
      </c>
      <c r="S19" s="75">
        <v>0</v>
      </c>
      <c r="V19" s="68" t="s">
        <v>125</v>
      </c>
      <c r="W19" s="77">
        <f>MOD(X19,360)</f>
        <v>196.02915410075366</v>
      </c>
      <c r="X19" s="77">
        <f>Y19+Z19*W$14+AA19*POWER(W$15,2)+AB19*POWER(W$15,3)+AC19*POWER(W$15,4)</f>
        <v>8836.0291541007537</v>
      </c>
      <c r="Y19" s="77">
        <v>2.5533999999999999</v>
      </c>
      <c r="Z19" s="77">
        <v>29.105356690000001</v>
      </c>
      <c r="AA19" s="77">
        <v>-2.1800000000000001E-5</v>
      </c>
      <c r="AB19" s="77">
        <v>-1.1000000000000001E-7</v>
      </c>
      <c r="AC19" s="75">
        <v>0</v>
      </c>
      <c r="AF19" s="68" t="s">
        <v>125</v>
      </c>
      <c r="AG19" s="77">
        <f>MOD(AH19,360)</f>
        <v>203.30549327108565</v>
      </c>
      <c r="AH19" s="77">
        <f>AI19+AJ19*AG$14+AK19*POWER(AG$15,2)+AL19*POWER(AG$15,3)+AM19*POWER(AG$15,4)</f>
        <v>8843.3054932710857</v>
      </c>
      <c r="AI19" s="77">
        <v>2.5533999999999999</v>
      </c>
      <c r="AJ19" s="77">
        <v>29.105356690000001</v>
      </c>
      <c r="AK19" s="77">
        <v>-2.1800000000000001E-5</v>
      </c>
      <c r="AL19" s="77">
        <v>-1.1000000000000001E-7</v>
      </c>
      <c r="AM19" s="75">
        <v>0</v>
      </c>
      <c r="AP19" s="78" t="s">
        <v>125</v>
      </c>
      <c r="AQ19" s="79">
        <f>MOD(AR19,360)</f>
        <v>210.58183244141765</v>
      </c>
      <c r="AR19" s="79">
        <f>AS19+AT19*AQ$14+AU19*POWER(AQ$15,2)+AV19*POWER(AQ$15,3)+AW19*POWER(AQ$15,4)</f>
        <v>8850.5818324414176</v>
      </c>
      <c r="AS19" s="79">
        <v>2.5533999999999999</v>
      </c>
      <c r="AT19" s="79">
        <v>29.105356690000001</v>
      </c>
      <c r="AU19" s="79">
        <v>-2.1800000000000001E-5</v>
      </c>
      <c r="AV19" s="79">
        <v>-1.1000000000000001E-7</v>
      </c>
      <c r="AW19" s="80">
        <v>0</v>
      </c>
    </row>
    <row r="20" spans="2:49" x14ac:dyDescent="0.2">
      <c r="B20" s="70" t="s">
        <v>124</v>
      </c>
      <c r="C20" s="81">
        <f>MOD(D20,360)</f>
        <v>104.09633479831973</v>
      </c>
      <c r="D20" s="81">
        <f>E20+F20*C$14+G20*POWER(C$15,2)+H20*POWER(C$15,3)+I20*POWER(C$15,4)</f>
        <v>117104.09633479832</v>
      </c>
      <c r="E20" s="81">
        <v>201.5643</v>
      </c>
      <c r="F20" s="81">
        <v>385.81693528</v>
      </c>
      <c r="G20" s="81">
        <v>1.07438E-2</v>
      </c>
      <c r="H20" s="81">
        <v>1.239E-5</v>
      </c>
      <c r="I20" s="76">
        <v>-5.8000000000000003E-8</v>
      </c>
      <c r="L20" s="70" t="s">
        <v>124</v>
      </c>
      <c r="M20" s="81">
        <f>MOD(N20,360)</f>
        <v>200.55056968319695</v>
      </c>
      <c r="N20" s="81">
        <f>O20+P20*M$14+Q20*POWER(M$15,2)+R20*POWER(M$15,3)+S20*POWER(M$15,4)</f>
        <v>117200.5505696832</v>
      </c>
      <c r="O20" s="81">
        <v>201.5643</v>
      </c>
      <c r="P20" s="81">
        <v>385.81693528</v>
      </c>
      <c r="Q20" s="81">
        <v>1.07438E-2</v>
      </c>
      <c r="R20" s="81">
        <v>1.239E-5</v>
      </c>
      <c r="S20" s="76">
        <v>-5.8000000000000003E-8</v>
      </c>
      <c r="V20" s="70" t="s">
        <v>124</v>
      </c>
      <c r="W20" s="81">
        <f>MOD(X20,360)</f>
        <v>297.00480456894729</v>
      </c>
      <c r="X20" s="81">
        <f>Y20+Z20*W$14+AA20*POWER(W$15,2)+AB20*POWER(W$15,3)+AC20*POWER(W$15,4)</f>
        <v>117297.00480456895</v>
      </c>
      <c r="Y20" s="81">
        <v>201.5643</v>
      </c>
      <c r="Z20" s="81">
        <v>385.81693528</v>
      </c>
      <c r="AA20" s="81">
        <v>1.07438E-2</v>
      </c>
      <c r="AB20" s="81">
        <v>1.239E-5</v>
      </c>
      <c r="AC20" s="76">
        <v>-5.8000000000000003E-8</v>
      </c>
      <c r="AF20" s="70" t="s">
        <v>124</v>
      </c>
      <c r="AG20" s="81">
        <f>MOD(AH20,360)</f>
        <v>33.459039455570746</v>
      </c>
      <c r="AH20" s="81">
        <f>AI20+AJ20*AG$14+AK20*POWER(AG$15,2)+AL20*POWER(AG$15,3)+AM20*POWER(AG$15,4)</f>
        <v>117393.45903945557</v>
      </c>
      <c r="AI20" s="81">
        <v>201.5643</v>
      </c>
      <c r="AJ20" s="81">
        <v>385.81693528</v>
      </c>
      <c r="AK20" s="81">
        <v>1.07438E-2</v>
      </c>
      <c r="AL20" s="81">
        <v>1.239E-5</v>
      </c>
      <c r="AM20" s="76">
        <v>-5.8000000000000003E-8</v>
      </c>
      <c r="AP20" s="82" t="s">
        <v>124</v>
      </c>
      <c r="AQ20" s="83">
        <f>MOD(AR20,360)</f>
        <v>129.91327434306731</v>
      </c>
      <c r="AR20" s="83">
        <f>AS20+AT20*AQ$14+AU20*POWER(AQ$15,2)+AV20*POWER(AQ$15,3)+AW20*POWER(AQ$15,4)</f>
        <v>117489.91327434307</v>
      </c>
      <c r="AS20" s="83">
        <v>201.5643</v>
      </c>
      <c r="AT20" s="83">
        <v>385.81693528</v>
      </c>
      <c r="AU20" s="83">
        <v>1.07438E-2</v>
      </c>
      <c r="AV20" s="83">
        <v>1.239E-5</v>
      </c>
      <c r="AW20" s="84">
        <v>-5.8000000000000003E-8</v>
      </c>
    </row>
    <row r="21" spans="2:49" x14ac:dyDescent="0.2">
      <c r="B21" s="70" t="s">
        <v>55</v>
      </c>
      <c r="C21" s="81">
        <f>MOD(D21,360)</f>
        <v>93.873032118121046</v>
      </c>
      <c r="D21" s="81">
        <f>E21+F21*C$14+G21*POWER(C$15,2)+H21*POWER(C$15,3)+I21*POWER(C$15,4)</f>
        <v>118533.87303211812</v>
      </c>
      <c r="E21" s="81">
        <v>160.71080000000001</v>
      </c>
      <c r="F21" s="81">
        <v>390.67050274000002</v>
      </c>
      <c r="G21" s="81">
        <v>-1.6341000000000001E-3</v>
      </c>
      <c r="H21" s="81">
        <v>-2.2699999999999999E-6</v>
      </c>
      <c r="I21" s="76">
        <v>1.0999999999999999E-8</v>
      </c>
      <c r="L21" s="70" t="s">
        <v>55</v>
      </c>
      <c r="M21" s="81">
        <f>MOD(N21,360)</f>
        <v>191.54065764113329</v>
      </c>
      <c r="N21" s="81">
        <f>O21+P21*M$14+Q21*POWER(M$15,2)+R21*POWER(M$15,3)+S21*POWER(M$15,4)</f>
        <v>118631.54065764113</v>
      </c>
      <c r="O21" s="81">
        <v>160.71080000000001</v>
      </c>
      <c r="P21" s="81">
        <v>390.67050274000002</v>
      </c>
      <c r="Q21" s="81">
        <v>-1.6341000000000001E-3</v>
      </c>
      <c r="R21" s="81">
        <v>-2.2699999999999999E-6</v>
      </c>
      <c r="S21" s="76">
        <v>1.0999999999999999E-8</v>
      </c>
      <c r="V21" s="70" t="s">
        <v>55</v>
      </c>
      <c r="W21" s="81">
        <f>MOD(X21,360)</f>
        <v>289.20828316402913</v>
      </c>
      <c r="X21" s="81">
        <f>Y21+Z21*W$14+AA21*POWER(W$15,2)+AB21*POWER(W$15,3)+AC21*POWER(W$15,4)</f>
        <v>118729.20828316403</v>
      </c>
      <c r="Y21" s="81">
        <v>160.71080000000001</v>
      </c>
      <c r="Z21" s="81">
        <v>390.67050274000002</v>
      </c>
      <c r="AA21" s="81">
        <v>-1.6341000000000001E-3</v>
      </c>
      <c r="AB21" s="81">
        <v>-2.2699999999999999E-6</v>
      </c>
      <c r="AC21" s="76">
        <v>1.0999999999999999E-8</v>
      </c>
      <c r="AF21" s="70" t="s">
        <v>55</v>
      </c>
      <c r="AG21" s="81">
        <f>MOD(AH21,360)</f>
        <v>26.875908686779439</v>
      </c>
      <c r="AH21" s="81">
        <f>AI21+AJ21*AG$14+AK21*POWER(AG$15,2)+AL21*POWER(AG$15,3)+AM21*POWER(AG$15,4)</f>
        <v>118826.87590868678</v>
      </c>
      <c r="AI21" s="81">
        <v>160.71080000000001</v>
      </c>
      <c r="AJ21" s="81">
        <v>390.67050274000002</v>
      </c>
      <c r="AK21" s="81">
        <v>-1.6341000000000001E-3</v>
      </c>
      <c r="AL21" s="81">
        <v>-2.2699999999999999E-6</v>
      </c>
      <c r="AM21" s="76">
        <v>1.0999999999999999E-8</v>
      </c>
      <c r="AP21" s="82" t="s">
        <v>55</v>
      </c>
      <c r="AQ21" s="83">
        <f>MOD(AR21,360)</f>
        <v>124.54353420939879</v>
      </c>
      <c r="AR21" s="83">
        <f>AS21+AT21*AQ$14+AU21*POWER(AQ$15,2)+AV21*POWER(AQ$15,3)+AW21*POWER(AQ$15,4)</f>
        <v>118924.5435342094</v>
      </c>
      <c r="AS21" s="83">
        <v>160.71080000000001</v>
      </c>
      <c r="AT21" s="83">
        <v>390.67050274000002</v>
      </c>
      <c r="AU21" s="83">
        <v>-1.6341000000000001E-3</v>
      </c>
      <c r="AV21" s="83">
        <v>-2.2699999999999999E-6</v>
      </c>
      <c r="AW21" s="84">
        <v>1.0999999999999999E-8</v>
      </c>
    </row>
    <row r="22" spans="2:49" x14ac:dyDescent="0.2">
      <c r="B22" s="73" t="s">
        <v>108</v>
      </c>
      <c r="C22" s="85">
        <f>MOD(D22,360)</f>
        <v>10.956716806181078</v>
      </c>
      <c r="D22" s="85">
        <f>E22+F22*C$14+G22*POWER(C$15,2)+H22*POWER(C$15,3)+I22*POWER(C$15,4)</f>
        <v>-349.04328319381892</v>
      </c>
      <c r="E22" s="85">
        <v>124.77460000000001</v>
      </c>
      <c r="F22" s="85">
        <v>-1.5637558</v>
      </c>
      <c r="G22" s="85">
        <v>2.0690999999999999E-3</v>
      </c>
      <c r="H22" s="85">
        <v>2.1500000000000002E-6</v>
      </c>
      <c r="I22" s="74">
        <v>0</v>
      </c>
      <c r="L22" s="73" t="s">
        <v>108</v>
      </c>
      <c r="M22" s="85">
        <f>MOD(N22,360)</f>
        <v>10.565778061252502</v>
      </c>
      <c r="N22" s="85">
        <f>O22+P22*M$14+Q22*POWER(M$15,2)+R22*POWER(M$15,3)+S22*POWER(M$15,4)</f>
        <v>-349.4342219387475</v>
      </c>
      <c r="O22" s="85">
        <v>124.77460000000001</v>
      </c>
      <c r="P22" s="85">
        <v>-1.5637558</v>
      </c>
      <c r="Q22" s="85">
        <v>2.0690999999999999E-3</v>
      </c>
      <c r="R22" s="85">
        <v>2.1500000000000002E-6</v>
      </c>
      <c r="S22" s="74">
        <v>0</v>
      </c>
      <c r="V22" s="73" t="s">
        <v>108</v>
      </c>
      <c r="W22" s="85">
        <f>MOD(X22,360)</f>
        <v>10.174839316493092</v>
      </c>
      <c r="X22" s="85">
        <f>Y22+Z22*W$14+AA22*POWER(W$15,2)+AB22*POWER(W$15,3)+AC22*POWER(W$15,4)</f>
        <v>-349.82516068350691</v>
      </c>
      <c r="Y22" s="85">
        <v>124.77460000000001</v>
      </c>
      <c r="Z22" s="85">
        <v>-1.5637558</v>
      </c>
      <c r="AA22" s="85">
        <v>2.0690999999999999E-3</v>
      </c>
      <c r="AB22" s="85">
        <v>2.1500000000000002E-6</v>
      </c>
      <c r="AC22" s="74">
        <v>0</v>
      </c>
      <c r="AF22" s="73" t="s">
        <v>108</v>
      </c>
      <c r="AG22" s="85">
        <f>MOD(AH22,360)</f>
        <v>9.7839005719028478</v>
      </c>
      <c r="AH22" s="85">
        <f>AI22+AJ22*AG$14+AK22*POWER(AG$15,2)+AL22*POWER(AG$15,3)+AM22*POWER(AG$15,4)</f>
        <v>-350.21609942809715</v>
      </c>
      <c r="AI22" s="85">
        <v>124.77460000000001</v>
      </c>
      <c r="AJ22" s="85">
        <v>-1.5637558</v>
      </c>
      <c r="AK22" s="85">
        <v>2.0690999999999999E-3</v>
      </c>
      <c r="AL22" s="85">
        <v>2.1500000000000002E-6</v>
      </c>
      <c r="AM22" s="74">
        <v>0</v>
      </c>
      <c r="AP22" s="86" t="s">
        <v>108</v>
      </c>
      <c r="AQ22" s="87">
        <f>MOD(AR22,360)</f>
        <v>9.3929618274817699</v>
      </c>
      <c r="AR22" s="87">
        <f>AS22+AT22*AQ$14+AU22*POWER(AQ$15,2)+AV22*POWER(AQ$15,3)+AW22*POWER(AQ$15,4)</f>
        <v>-350.60703817251823</v>
      </c>
      <c r="AS22" s="87">
        <v>124.77460000000001</v>
      </c>
      <c r="AT22" s="87">
        <v>-1.5637558</v>
      </c>
      <c r="AU22" s="87">
        <v>2.0690999999999999E-3</v>
      </c>
      <c r="AV22" s="87">
        <v>2.1500000000000002E-6</v>
      </c>
      <c r="AW22" s="88">
        <v>0</v>
      </c>
    </row>
    <row r="24" spans="2:49" x14ac:dyDescent="0.2">
      <c r="B24" s="89" t="s">
        <v>123</v>
      </c>
      <c r="C24" s="90"/>
      <c r="D24" s="90"/>
      <c r="E24" s="90"/>
      <c r="F24" s="90"/>
      <c r="G24" s="90"/>
      <c r="H24" s="90"/>
      <c r="I24" s="91"/>
      <c r="L24" s="89" t="s">
        <v>123</v>
      </c>
      <c r="M24" s="90"/>
      <c r="N24" s="90"/>
      <c r="O24" s="90"/>
      <c r="P24" s="90"/>
      <c r="Q24" s="90"/>
      <c r="R24" s="90"/>
      <c r="S24" s="91"/>
      <c r="V24" s="89" t="s">
        <v>123</v>
      </c>
      <c r="W24" s="90"/>
      <c r="X24" s="90"/>
      <c r="Y24" s="90"/>
      <c r="Z24" s="90"/>
      <c r="AA24" s="90"/>
      <c r="AB24" s="90"/>
      <c r="AC24" s="91"/>
      <c r="AF24" s="89" t="s">
        <v>123</v>
      </c>
      <c r="AG24" s="90"/>
      <c r="AH24" s="90"/>
      <c r="AI24" s="90"/>
      <c r="AJ24" s="90"/>
      <c r="AK24" s="90"/>
      <c r="AL24" s="90"/>
      <c r="AM24" s="91"/>
      <c r="AP24" s="89" t="s">
        <v>123</v>
      </c>
      <c r="AQ24" s="90"/>
      <c r="AR24" s="90"/>
      <c r="AS24" s="90"/>
      <c r="AT24" s="90"/>
      <c r="AU24" s="90"/>
      <c r="AV24" s="90"/>
      <c r="AW24" s="91"/>
    </row>
    <row r="25" spans="2:49" x14ac:dyDescent="0.2">
      <c r="B25" s="68"/>
      <c r="C25" s="92"/>
      <c r="D25" s="93" t="s">
        <v>122</v>
      </c>
      <c r="E25" s="92"/>
      <c r="F25" s="92"/>
      <c r="G25" s="92"/>
      <c r="H25" s="92"/>
      <c r="I25" s="69"/>
      <c r="L25" s="68"/>
      <c r="M25" s="92"/>
      <c r="N25" s="93" t="s">
        <v>122</v>
      </c>
      <c r="O25" s="92"/>
      <c r="P25" s="92"/>
      <c r="Q25" s="92"/>
      <c r="R25" s="92"/>
      <c r="S25" s="69"/>
      <c r="V25" s="68"/>
      <c r="W25" s="92"/>
      <c r="X25" s="93" t="s">
        <v>122</v>
      </c>
      <c r="Y25" s="92"/>
      <c r="Z25" s="92"/>
      <c r="AA25" s="92"/>
      <c r="AB25" s="92"/>
      <c r="AC25" s="69"/>
      <c r="AF25" s="68"/>
      <c r="AG25" s="92"/>
      <c r="AH25" s="93" t="s">
        <v>122</v>
      </c>
      <c r="AI25" s="92"/>
      <c r="AJ25" s="92"/>
      <c r="AK25" s="92"/>
      <c r="AL25" s="92"/>
      <c r="AM25" s="69"/>
      <c r="AP25" s="68"/>
      <c r="AQ25" s="92"/>
      <c r="AR25" s="93" t="s">
        <v>122</v>
      </c>
      <c r="AS25" s="92"/>
      <c r="AT25" s="92"/>
      <c r="AU25" s="92"/>
      <c r="AV25" s="92"/>
      <c r="AW25" s="69"/>
    </row>
    <row r="26" spans="2:49" x14ac:dyDescent="0.2">
      <c r="B26" s="94">
        <f t="shared" ref="B26:B39" si="0">C26*D26</f>
        <v>-1.5100297989849773E-4</v>
      </c>
      <c r="C26" s="81">
        <v>3.2499999999999999E-4</v>
      </c>
      <c r="D26" s="81">
        <f t="shared" ref="D26:D39" si="1">SIN($C$4*F26)</f>
        <v>-0.46462455353383919</v>
      </c>
      <c r="E26" s="95" t="s">
        <v>66</v>
      </c>
      <c r="F26" s="81">
        <f t="shared" ref="F26:F39" si="2">G26+H26*C$14+I26*POWER(C$15,2)</f>
        <v>332.31407349333199</v>
      </c>
      <c r="G26" s="81">
        <v>299.77</v>
      </c>
      <c r="H26" s="81">
        <v>0.107408</v>
      </c>
      <c r="I26" s="76">
        <v>-9.1730000000000006E-3</v>
      </c>
      <c r="L26" s="94">
        <f t="shared" ref="L26:L39" si="3">M26*N26</f>
        <v>-1.5086809341757429E-4</v>
      </c>
      <c r="M26" s="81">
        <v>3.2499999999999999E-4</v>
      </c>
      <c r="N26" s="81">
        <f t="shared" ref="N26:N39" si="4">SIN($C$4*P26)</f>
        <v>-0.46420951820792089</v>
      </c>
      <c r="O26" s="95" t="s">
        <v>66</v>
      </c>
      <c r="P26" s="81">
        <f t="shared" ref="P26:P39" si="5">Q26+R26*M$14+S26*POWER(M$15,2)</f>
        <v>332.3409245845304</v>
      </c>
      <c r="Q26" s="81">
        <v>299.77</v>
      </c>
      <c r="R26" s="81">
        <v>0.107408</v>
      </c>
      <c r="S26" s="76">
        <v>-9.1730000000000006E-3</v>
      </c>
      <c r="V26" s="94">
        <f t="shared" ref="V26:V39" si="6">W26*X26</f>
        <v>-1.5073317380625447E-4</v>
      </c>
      <c r="W26" s="81">
        <v>3.2499999999999999E-4</v>
      </c>
      <c r="X26" s="81">
        <f t="shared" ref="X26:X39" si="7">SIN($C$4*Z26)</f>
        <v>-0.4637943809423215</v>
      </c>
      <c r="Y26" s="95" t="s">
        <v>66</v>
      </c>
      <c r="Z26" s="81">
        <f t="shared" ref="Z26:Z39" si="8">AA26+AB26*W$14+AC26*POWER(W$15,2)</f>
        <v>332.36777567497921</v>
      </c>
      <c r="AA26" s="81">
        <v>299.77</v>
      </c>
      <c r="AB26" s="81">
        <v>0.107408</v>
      </c>
      <c r="AC26" s="76">
        <v>-9.1730000000000006E-3</v>
      </c>
      <c r="AF26" s="94">
        <f t="shared" ref="AF26:AF39" si="9">AG26*AH26</f>
        <v>-1.5059822109417159E-4</v>
      </c>
      <c r="AG26" s="81">
        <v>3.2499999999999999E-4</v>
      </c>
      <c r="AH26" s="81">
        <f t="shared" ref="AH26:AH39" si="10">SIN($C$4*AJ26)</f>
        <v>-0.46337914182822026</v>
      </c>
      <c r="AI26" s="95" t="s">
        <v>66</v>
      </c>
      <c r="AJ26" s="81">
        <f t="shared" ref="AJ26:AJ39" si="11">AK26+AL26*AG$14+AM26*POWER(AG$15,2)</f>
        <v>332.39462676467861</v>
      </c>
      <c r="AK26" s="81">
        <v>299.77</v>
      </c>
      <c r="AL26" s="81">
        <v>0.107408</v>
      </c>
      <c r="AM26" s="76">
        <v>-9.1730000000000006E-3</v>
      </c>
      <c r="AP26" s="94">
        <f t="shared" ref="AP26:AP39" si="12">AQ26*AR26</f>
        <v>-1.5046323531096842E-4</v>
      </c>
      <c r="AQ26" s="81">
        <v>3.2499999999999999E-4</v>
      </c>
      <c r="AR26" s="81">
        <f t="shared" ref="AR26:AR39" si="13">SIN($C$4*AT26)</f>
        <v>-0.46296380095682593</v>
      </c>
      <c r="AS26" s="95" t="s">
        <v>66</v>
      </c>
      <c r="AT26" s="81">
        <f t="shared" ref="AT26:AT39" si="14">AU26+AV26*AQ$14+AW26*POWER(AQ$15,2)</f>
        <v>332.4214778536284</v>
      </c>
      <c r="AU26" s="81">
        <v>299.77</v>
      </c>
      <c r="AV26" s="81">
        <v>0.107408</v>
      </c>
      <c r="AW26" s="76">
        <v>-9.1730000000000006E-3</v>
      </c>
    </row>
    <row r="27" spans="2:49" x14ac:dyDescent="0.2">
      <c r="B27" s="94">
        <f t="shared" si="0"/>
        <v>-1.6065711639037372E-4</v>
      </c>
      <c r="C27" s="81">
        <v>1.65E-4</v>
      </c>
      <c r="D27" s="81">
        <f t="shared" si="1"/>
        <v>-0.97367949327499215</v>
      </c>
      <c r="E27" s="95" t="s">
        <v>69</v>
      </c>
      <c r="F27" s="81">
        <f t="shared" si="2"/>
        <v>256.82526300000001</v>
      </c>
      <c r="G27" s="81">
        <v>251.88</v>
      </c>
      <c r="H27" s="81">
        <v>1.6320999999999999E-2</v>
      </c>
      <c r="I27" s="76">
        <v>0</v>
      </c>
      <c r="L27" s="94">
        <f t="shared" si="3"/>
        <v>-1.606597941245138E-4</v>
      </c>
      <c r="M27" s="81">
        <v>1.65E-4</v>
      </c>
      <c r="N27" s="81">
        <f t="shared" si="4"/>
        <v>-0.97369572196675036</v>
      </c>
      <c r="O27" s="95" t="s">
        <v>69</v>
      </c>
      <c r="P27" s="81">
        <f t="shared" si="5"/>
        <v>256.82934325000002</v>
      </c>
      <c r="Q27" s="81">
        <v>251.88</v>
      </c>
      <c r="R27" s="81">
        <v>1.6320999999999999E-2</v>
      </c>
      <c r="S27" s="76">
        <v>0</v>
      </c>
      <c r="V27" s="94">
        <f t="shared" si="6"/>
        <v>-1.6066247104388302E-4</v>
      </c>
      <c r="W27" s="81">
        <v>1.65E-4</v>
      </c>
      <c r="X27" s="81">
        <f t="shared" si="7"/>
        <v>-0.97371194572050312</v>
      </c>
      <c r="Y27" s="95" t="s">
        <v>69</v>
      </c>
      <c r="Z27" s="81">
        <f t="shared" si="8"/>
        <v>256.83342349999998</v>
      </c>
      <c r="AA27" s="81">
        <v>251.88</v>
      </c>
      <c r="AB27" s="81">
        <v>1.6320999999999999E-2</v>
      </c>
      <c r="AC27" s="76">
        <v>0</v>
      </c>
      <c r="AF27" s="94">
        <f t="shared" si="9"/>
        <v>-1.6066514714846783E-4</v>
      </c>
      <c r="AG27" s="81">
        <v>1.65E-4</v>
      </c>
      <c r="AH27" s="81">
        <f t="shared" si="10"/>
        <v>-0.97372816453616873</v>
      </c>
      <c r="AI27" s="95" t="s">
        <v>69</v>
      </c>
      <c r="AJ27" s="81">
        <f t="shared" si="11"/>
        <v>256.83750375</v>
      </c>
      <c r="AK27" s="81">
        <v>251.88</v>
      </c>
      <c r="AL27" s="81">
        <v>1.6320999999999999E-2</v>
      </c>
      <c r="AM27" s="76">
        <v>0</v>
      </c>
      <c r="AP27" s="94">
        <f t="shared" si="12"/>
        <v>-1.6066782243825462E-4</v>
      </c>
      <c r="AQ27" s="81">
        <v>1.65E-4</v>
      </c>
      <c r="AR27" s="81">
        <f t="shared" si="13"/>
        <v>-0.97374437841366446</v>
      </c>
      <c r="AS27" s="95" t="s">
        <v>69</v>
      </c>
      <c r="AT27" s="81">
        <f t="shared" si="14"/>
        <v>256.84158400000001</v>
      </c>
      <c r="AU27" s="81">
        <v>251.88</v>
      </c>
      <c r="AV27" s="81">
        <v>1.6320999999999999E-2</v>
      </c>
      <c r="AW27" s="76">
        <v>0</v>
      </c>
    </row>
    <row r="28" spans="2:49" x14ac:dyDescent="0.2">
      <c r="B28" s="94">
        <f t="shared" si="0"/>
        <v>1.206258313174509E-4</v>
      </c>
      <c r="C28" s="81">
        <v>1.64E-4</v>
      </c>
      <c r="D28" s="81">
        <f t="shared" si="1"/>
        <v>0.73552336169177379</v>
      </c>
      <c r="E28" s="95" t="s">
        <v>68</v>
      </c>
      <c r="F28" s="81">
        <f t="shared" si="2"/>
        <v>8327.351458000001</v>
      </c>
      <c r="G28" s="81">
        <v>251.83</v>
      </c>
      <c r="H28" s="81">
        <v>26.651886000000001</v>
      </c>
      <c r="I28" s="76">
        <v>0</v>
      </c>
      <c r="L28" s="94">
        <f t="shared" si="3"/>
        <v>1.3270305965532334E-4</v>
      </c>
      <c r="M28" s="81">
        <v>1.64E-4</v>
      </c>
      <c r="N28" s="81">
        <f t="shared" si="4"/>
        <v>0.80916499789831309</v>
      </c>
      <c r="O28" s="95" t="s">
        <v>68</v>
      </c>
      <c r="P28" s="81">
        <f t="shared" si="5"/>
        <v>8334.0144295000009</v>
      </c>
      <c r="Q28" s="81">
        <v>251.83</v>
      </c>
      <c r="R28" s="81">
        <v>26.651886000000001</v>
      </c>
      <c r="S28" s="76">
        <v>0</v>
      </c>
      <c r="V28" s="94">
        <f t="shared" si="6"/>
        <v>1.4298769335116188E-4</v>
      </c>
      <c r="W28" s="81">
        <v>1.64E-4</v>
      </c>
      <c r="X28" s="81">
        <f t="shared" si="7"/>
        <v>0.87187617897049929</v>
      </c>
      <c r="Y28" s="95" t="s">
        <v>68</v>
      </c>
      <c r="Z28" s="81">
        <f t="shared" si="8"/>
        <v>8340.6774010000008</v>
      </c>
      <c r="AA28" s="81">
        <v>251.83</v>
      </c>
      <c r="AB28" s="81">
        <v>26.651886000000001</v>
      </c>
      <c r="AC28" s="76">
        <v>0</v>
      </c>
      <c r="AF28" s="94">
        <f t="shared" si="9"/>
        <v>1.5134080434026602E-4</v>
      </c>
      <c r="AG28" s="81">
        <v>1.64E-4</v>
      </c>
      <c r="AH28" s="81">
        <f t="shared" si="10"/>
        <v>0.9228097825625976</v>
      </c>
      <c r="AI28" s="95" t="s">
        <v>68</v>
      </c>
      <c r="AJ28" s="81">
        <f t="shared" si="11"/>
        <v>8347.3403725000007</v>
      </c>
      <c r="AK28" s="81">
        <v>251.83</v>
      </c>
      <c r="AL28" s="81">
        <v>26.651886000000001</v>
      </c>
      <c r="AM28" s="76">
        <v>0</v>
      </c>
      <c r="AP28" s="94">
        <f t="shared" si="12"/>
        <v>1.5764955617377923E-4</v>
      </c>
      <c r="AQ28" s="81">
        <v>1.64E-4</v>
      </c>
      <c r="AR28" s="81">
        <f t="shared" si="13"/>
        <v>0.96127778154743437</v>
      </c>
      <c r="AS28" s="95" t="s">
        <v>68</v>
      </c>
      <c r="AT28" s="81">
        <f t="shared" si="14"/>
        <v>8354.0033440000007</v>
      </c>
      <c r="AU28" s="81">
        <v>251.83</v>
      </c>
      <c r="AV28" s="81">
        <v>26.651886000000001</v>
      </c>
      <c r="AW28" s="76">
        <v>0</v>
      </c>
    </row>
    <row r="29" spans="2:49" x14ac:dyDescent="0.2">
      <c r="B29" s="94">
        <f t="shared" si="0"/>
        <v>-8.4963455199272284E-5</v>
      </c>
      <c r="C29" s="81">
        <v>1.26E-4</v>
      </c>
      <c r="D29" s="81">
        <f t="shared" si="1"/>
        <v>-0.67431313650216096</v>
      </c>
      <c r="E29" s="95" t="s">
        <v>121</v>
      </c>
      <c r="F29" s="81">
        <f t="shared" si="2"/>
        <v>11382.400834</v>
      </c>
      <c r="G29" s="81">
        <v>349.42</v>
      </c>
      <c r="H29" s="81">
        <v>36.412478</v>
      </c>
      <c r="I29" s="76">
        <v>0</v>
      </c>
      <c r="L29" s="94">
        <f t="shared" si="3"/>
        <v>-9.8614039795770061E-5</v>
      </c>
      <c r="M29" s="81">
        <v>1.26E-4</v>
      </c>
      <c r="N29" s="81">
        <f t="shared" si="4"/>
        <v>-0.78265110949023853</v>
      </c>
      <c r="O29" s="95" t="s">
        <v>121</v>
      </c>
      <c r="P29" s="81">
        <f t="shared" si="5"/>
        <v>11391.5039535</v>
      </c>
      <c r="Q29" s="81">
        <v>349.42</v>
      </c>
      <c r="R29" s="81">
        <v>36.412478</v>
      </c>
      <c r="S29" s="76">
        <v>0</v>
      </c>
      <c r="V29" s="94">
        <f t="shared" si="6"/>
        <v>-1.0978057504828846E-4</v>
      </c>
      <c r="W29" s="81">
        <v>1.26E-4</v>
      </c>
      <c r="X29" s="81">
        <f t="shared" si="7"/>
        <v>-0.87127440514514642</v>
      </c>
      <c r="Y29" s="95" t="s">
        <v>121</v>
      </c>
      <c r="Z29" s="81">
        <f t="shared" si="8"/>
        <v>11400.607072999999</v>
      </c>
      <c r="AA29" s="81">
        <v>349.42</v>
      </c>
      <c r="AB29" s="81">
        <v>36.412478</v>
      </c>
      <c r="AC29" s="76">
        <v>0</v>
      </c>
      <c r="AF29" s="94">
        <f t="shared" si="9"/>
        <v>-1.1818178027279628E-4</v>
      </c>
      <c r="AG29" s="81">
        <v>1.26E-4</v>
      </c>
      <c r="AH29" s="81">
        <f t="shared" si="10"/>
        <v>-0.93795063708568482</v>
      </c>
      <c r="AI29" s="95" t="s">
        <v>121</v>
      </c>
      <c r="AJ29" s="81">
        <f t="shared" si="11"/>
        <v>11409.710192500001</v>
      </c>
      <c r="AK29" s="81">
        <v>349.42</v>
      </c>
      <c r="AL29" s="81">
        <v>36.412478</v>
      </c>
      <c r="AM29" s="76">
        <v>0</v>
      </c>
      <c r="AP29" s="94">
        <f t="shared" si="12"/>
        <v>-1.236060323741452E-4</v>
      </c>
      <c r="AQ29" s="81">
        <v>1.26E-4</v>
      </c>
      <c r="AR29" s="81">
        <f t="shared" si="13"/>
        <v>-0.98100025693766024</v>
      </c>
      <c r="AS29" s="95" t="s">
        <v>121</v>
      </c>
      <c r="AT29" s="81">
        <f t="shared" si="14"/>
        <v>11418.813312</v>
      </c>
      <c r="AU29" s="81">
        <v>349.42</v>
      </c>
      <c r="AV29" s="81">
        <v>36.412478</v>
      </c>
      <c r="AW29" s="76">
        <v>0</v>
      </c>
    </row>
    <row r="30" spans="2:49" x14ac:dyDescent="0.2">
      <c r="B30" s="94">
        <f t="shared" si="0"/>
        <v>-3.9689937567095892E-5</v>
      </c>
      <c r="C30" s="81">
        <v>1.1E-4</v>
      </c>
      <c r="D30" s="81">
        <f t="shared" si="1"/>
        <v>-0.3608176142463263</v>
      </c>
      <c r="E30" s="95" t="s">
        <v>70</v>
      </c>
      <c r="F30" s="81">
        <f t="shared" si="2"/>
        <v>5601.1504169999998</v>
      </c>
      <c r="G30" s="81">
        <v>84.66</v>
      </c>
      <c r="H30" s="81">
        <v>18.206239</v>
      </c>
      <c r="I30" s="76">
        <v>0</v>
      </c>
      <c r="L30" s="94">
        <f t="shared" si="3"/>
        <v>-4.7705918942431032E-5</v>
      </c>
      <c r="M30" s="81">
        <v>1.1E-4</v>
      </c>
      <c r="N30" s="81">
        <f t="shared" si="4"/>
        <v>-0.43369017220391848</v>
      </c>
      <c r="O30" s="95" t="s">
        <v>70</v>
      </c>
      <c r="P30" s="81">
        <f t="shared" si="5"/>
        <v>5605.7019767499996</v>
      </c>
      <c r="Q30" s="81">
        <v>84.66</v>
      </c>
      <c r="R30" s="81">
        <v>18.206239</v>
      </c>
      <c r="S30" s="76">
        <v>0</v>
      </c>
      <c r="V30" s="94">
        <f t="shared" si="6"/>
        <v>-5.5421002460587042E-5</v>
      </c>
      <c r="W30" s="81">
        <v>1.1E-4</v>
      </c>
      <c r="X30" s="81">
        <f t="shared" si="7"/>
        <v>-0.5038272950962458</v>
      </c>
      <c r="Y30" s="95" t="s">
        <v>70</v>
      </c>
      <c r="Z30" s="81">
        <f t="shared" si="8"/>
        <v>5610.2535364999994</v>
      </c>
      <c r="AA30" s="81">
        <v>84.66</v>
      </c>
      <c r="AB30" s="81">
        <v>18.206239</v>
      </c>
      <c r="AC30" s="76">
        <v>0</v>
      </c>
      <c r="AF30" s="94">
        <f t="shared" si="9"/>
        <v>-6.2786526400965885E-5</v>
      </c>
      <c r="AG30" s="81">
        <v>1.1E-4</v>
      </c>
      <c r="AH30" s="81">
        <f t="shared" si="10"/>
        <v>-0.57078660364514444</v>
      </c>
      <c r="AI30" s="95" t="s">
        <v>70</v>
      </c>
      <c r="AJ30" s="81">
        <f t="shared" si="11"/>
        <v>5614.8050962500001</v>
      </c>
      <c r="AK30" s="81">
        <v>84.66</v>
      </c>
      <c r="AL30" s="81">
        <v>18.206239</v>
      </c>
      <c r="AM30" s="76">
        <v>0</v>
      </c>
      <c r="AP30" s="94">
        <f t="shared" si="12"/>
        <v>-6.975603383704684E-5</v>
      </c>
      <c r="AQ30" s="81">
        <v>1.1E-4</v>
      </c>
      <c r="AR30" s="81">
        <f t="shared" si="13"/>
        <v>-0.6341457621549712</v>
      </c>
      <c r="AS30" s="95" t="s">
        <v>70</v>
      </c>
      <c r="AT30" s="81">
        <f t="shared" si="14"/>
        <v>5619.3566559999999</v>
      </c>
      <c r="AU30" s="81">
        <v>84.66</v>
      </c>
      <c r="AV30" s="81">
        <v>18.206239</v>
      </c>
      <c r="AW30" s="76">
        <v>0</v>
      </c>
    </row>
    <row r="31" spans="2:49" x14ac:dyDescent="0.2">
      <c r="B31" s="94">
        <f t="shared" si="0"/>
        <v>6.1926896750001719E-5</v>
      </c>
      <c r="C31" s="81">
        <v>6.2000000000000003E-5</v>
      </c>
      <c r="D31" s="81">
        <f t="shared" si="1"/>
        <v>0.99882091532260842</v>
      </c>
      <c r="E31" s="95" t="s">
        <v>120</v>
      </c>
      <c r="F31" s="81">
        <f t="shared" si="2"/>
        <v>16292.782612999999</v>
      </c>
      <c r="G31" s="81">
        <v>141.74</v>
      </c>
      <c r="H31" s="81">
        <v>53.303770999999998</v>
      </c>
      <c r="I31" s="76">
        <v>0</v>
      </c>
      <c r="L31" s="94">
        <f t="shared" si="3"/>
        <v>5.9565739455666258E-5</v>
      </c>
      <c r="M31" s="81">
        <v>6.2000000000000003E-5</v>
      </c>
      <c r="N31" s="81">
        <f t="shared" si="4"/>
        <v>0.96073773315590738</v>
      </c>
      <c r="O31" s="95" t="s">
        <v>120</v>
      </c>
      <c r="P31" s="81">
        <f t="shared" si="5"/>
        <v>16306.108555749999</v>
      </c>
      <c r="Q31" s="81">
        <v>141.74</v>
      </c>
      <c r="R31" s="81">
        <v>53.303770999999998</v>
      </c>
      <c r="S31" s="76">
        <v>0</v>
      </c>
      <c r="V31" s="94">
        <f t="shared" si="6"/>
        <v>5.3996920586156577E-5</v>
      </c>
      <c r="W31" s="81">
        <v>6.2000000000000003E-5</v>
      </c>
      <c r="X31" s="81">
        <f t="shared" si="7"/>
        <v>0.87091807397026733</v>
      </c>
      <c r="Y31" s="95" t="s">
        <v>120</v>
      </c>
      <c r="Z31" s="81">
        <f t="shared" si="8"/>
        <v>16319.434498499999</v>
      </c>
      <c r="AA31" s="81">
        <v>141.74</v>
      </c>
      <c r="AB31" s="81">
        <v>53.303770999999998</v>
      </c>
      <c r="AC31" s="76">
        <v>0</v>
      </c>
      <c r="AF31" s="94">
        <f t="shared" si="9"/>
        <v>4.5520325385407662E-5</v>
      </c>
      <c r="AG31" s="81">
        <v>6.2000000000000003E-5</v>
      </c>
      <c r="AH31" s="81">
        <f t="shared" si="10"/>
        <v>0.73419879653883324</v>
      </c>
      <c r="AI31" s="95" t="s">
        <v>120</v>
      </c>
      <c r="AJ31" s="81">
        <f t="shared" si="11"/>
        <v>16332.760441249999</v>
      </c>
      <c r="AK31" s="81">
        <v>141.74</v>
      </c>
      <c r="AL31" s="81">
        <v>53.303770999999998</v>
      </c>
      <c r="AM31" s="76">
        <v>0</v>
      </c>
      <c r="AP31" s="94">
        <f t="shared" si="12"/>
        <v>3.4592425123015468E-5</v>
      </c>
      <c r="AQ31" s="81">
        <v>6.2000000000000003E-5</v>
      </c>
      <c r="AR31" s="81">
        <f t="shared" si="13"/>
        <v>0.55794234069379789</v>
      </c>
      <c r="AS31" s="95" t="s">
        <v>120</v>
      </c>
      <c r="AT31" s="81">
        <f t="shared" si="14"/>
        <v>16346.086383999998</v>
      </c>
      <c r="AU31" s="81">
        <v>141.74</v>
      </c>
      <c r="AV31" s="81">
        <v>53.303770999999998</v>
      </c>
      <c r="AW31" s="76">
        <v>0</v>
      </c>
    </row>
    <row r="32" spans="2:49" x14ac:dyDescent="0.2">
      <c r="B32" s="94">
        <f t="shared" si="0"/>
        <v>-4.6377834212183415E-5</v>
      </c>
      <c r="C32" s="81">
        <v>6.0000000000000002E-5</v>
      </c>
      <c r="D32" s="81">
        <f t="shared" si="1"/>
        <v>-0.77296390353639022</v>
      </c>
      <c r="E32" s="95" t="s">
        <v>67</v>
      </c>
      <c r="F32" s="81">
        <f t="shared" si="2"/>
        <v>950.62079600000004</v>
      </c>
      <c r="G32" s="81">
        <v>207.14</v>
      </c>
      <c r="H32" s="81">
        <v>2.453732</v>
      </c>
      <c r="I32" s="76">
        <v>0</v>
      </c>
      <c r="L32" s="94">
        <f t="shared" si="3"/>
        <v>-4.678272986621525E-5</v>
      </c>
      <c r="M32" s="81">
        <v>6.0000000000000002E-5</v>
      </c>
      <c r="N32" s="81">
        <f t="shared" si="4"/>
        <v>-0.77971216443692082</v>
      </c>
      <c r="O32" s="95" t="s">
        <v>67</v>
      </c>
      <c r="P32" s="81">
        <f t="shared" si="5"/>
        <v>951.23422900000003</v>
      </c>
      <c r="Q32" s="81">
        <v>207.14</v>
      </c>
      <c r="R32" s="81">
        <v>2.453732</v>
      </c>
      <c r="S32" s="76">
        <v>0</v>
      </c>
      <c r="V32" s="94">
        <f t="shared" si="6"/>
        <v>-4.7182262981815337E-5</v>
      </c>
      <c r="W32" s="81">
        <v>6.0000000000000002E-5</v>
      </c>
      <c r="X32" s="81">
        <f t="shared" si="7"/>
        <v>-0.78637104969692229</v>
      </c>
      <c r="Y32" s="95" t="s">
        <v>67</v>
      </c>
      <c r="Z32" s="81">
        <f t="shared" si="8"/>
        <v>951.84766200000001</v>
      </c>
      <c r="AA32" s="81">
        <v>207.14</v>
      </c>
      <c r="AB32" s="81">
        <v>2.453732</v>
      </c>
      <c r="AC32" s="76">
        <v>0</v>
      </c>
      <c r="AF32" s="94">
        <f t="shared" si="9"/>
        <v>-4.7576387761919518E-5</v>
      </c>
      <c r="AG32" s="81">
        <v>6.0000000000000002E-5</v>
      </c>
      <c r="AH32" s="81">
        <f t="shared" si="10"/>
        <v>-0.79293979603199194</v>
      </c>
      <c r="AI32" s="95" t="s">
        <v>67</v>
      </c>
      <c r="AJ32" s="81">
        <f t="shared" si="11"/>
        <v>952.461095</v>
      </c>
      <c r="AK32" s="81">
        <v>207.14</v>
      </c>
      <c r="AL32" s="81">
        <v>2.453732</v>
      </c>
      <c r="AM32" s="76">
        <v>0</v>
      </c>
      <c r="AP32" s="94">
        <f t="shared" si="12"/>
        <v>-4.7965059029401964E-5</v>
      </c>
      <c r="AQ32" s="81">
        <v>6.0000000000000002E-5</v>
      </c>
      <c r="AR32" s="81">
        <f t="shared" si="13"/>
        <v>-0.79941765049003266</v>
      </c>
      <c r="AS32" s="95" t="s">
        <v>67</v>
      </c>
      <c r="AT32" s="81">
        <f t="shared" si="14"/>
        <v>953.07452799999999</v>
      </c>
      <c r="AU32" s="81">
        <v>207.14</v>
      </c>
      <c r="AV32" s="81">
        <v>2.453732</v>
      </c>
      <c r="AW32" s="76">
        <v>0</v>
      </c>
    </row>
    <row r="33" spans="2:50" x14ac:dyDescent="0.2">
      <c r="B33" s="94">
        <f t="shared" si="0"/>
        <v>-2.6994117886544194E-5</v>
      </c>
      <c r="C33" s="81">
        <v>5.5999999999999999E-5</v>
      </c>
      <c r="D33" s="81">
        <f t="shared" si="1"/>
        <v>-0.4820378194025749</v>
      </c>
      <c r="E33" s="95" t="s">
        <v>119</v>
      </c>
      <c r="F33" s="81">
        <f t="shared" si="2"/>
        <v>2368.8185800000001</v>
      </c>
      <c r="G33" s="81">
        <v>154.84</v>
      </c>
      <c r="H33" s="81">
        <v>7.3068600000000004</v>
      </c>
      <c r="I33" s="76">
        <v>0</v>
      </c>
      <c r="L33" s="94">
        <f t="shared" si="3"/>
        <v>-2.854441595830166E-5</v>
      </c>
      <c r="M33" s="81">
        <v>5.5999999999999999E-5</v>
      </c>
      <c r="N33" s="81">
        <f t="shared" si="4"/>
        <v>-0.50972171354110107</v>
      </c>
      <c r="O33" s="95" t="s">
        <v>119</v>
      </c>
      <c r="P33" s="81">
        <f t="shared" si="5"/>
        <v>2370.6452950000003</v>
      </c>
      <c r="Q33" s="81">
        <v>154.84</v>
      </c>
      <c r="R33" s="81">
        <v>7.3068600000000004</v>
      </c>
      <c r="S33" s="76">
        <v>0</v>
      </c>
      <c r="V33" s="94">
        <f t="shared" si="6"/>
        <v>-3.0065701827644057E-5</v>
      </c>
      <c r="W33" s="81">
        <v>5.5999999999999999E-5</v>
      </c>
      <c r="X33" s="81">
        <f t="shared" si="7"/>
        <v>-0.53688753263650102</v>
      </c>
      <c r="Y33" s="95" t="s">
        <v>119</v>
      </c>
      <c r="Z33" s="81">
        <f t="shared" si="8"/>
        <v>2372.4720100000004</v>
      </c>
      <c r="AA33" s="81">
        <v>154.84</v>
      </c>
      <c r="AB33" s="81">
        <v>7.3068600000000004</v>
      </c>
      <c r="AC33" s="76">
        <v>0</v>
      </c>
      <c r="AF33" s="94">
        <f t="shared" si="9"/>
        <v>-3.1556429277838605E-5</v>
      </c>
      <c r="AG33" s="81">
        <v>5.5999999999999999E-5</v>
      </c>
      <c r="AH33" s="81">
        <f t="shared" si="10"/>
        <v>-0.56350766567568944</v>
      </c>
      <c r="AI33" s="95" t="s">
        <v>119</v>
      </c>
      <c r="AJ33" s="81">
        <f t="shared" si="11"/>
        <v>2374.2987250000001</v>
      </c>
      <c r="AK33" s="81">
        <v>154.84</v>
      </c>
      <c r="AL33" s="81">
        <v>7.3068600000000004</v>
      </c>
      <c r="AM33" s="76">
        <v>0</v>
      </c>
      <c r="AP33" s="94">
        <f t="shared" si="12"/>
        <v>-3.3015083151364349E-5</v>
      </c>
      <c r="AQ33" s="81">
        <v>5.5999999999999999E-5</v>
      </c>
      <c r="AR33" s="81">
        <f t="shared" si="13"/>
        <v>-0.58955505627436333</v>
      </c>
      <c r="AS33" s="95" t="s">
        <v>119</v>
      </c>
      <c r="AT33" s="81">
        <f t="shared" si="14"/>
        <v>2376.1254400000003</v>
      </c>
      <c r="AU33" s="81">
        <v>154.84</v>
      </c>
      <c r="AV33" s="81">
        <v>7.3068600000000004</v>
      </c>
      <c r="AW33" s="76">
        <v>0</v>
      </c>
    </row>
    <row r="34" spans="2:50" x14ac:dyDescent="0.2">
      <c r="B34" s="94">
        <f t="shared" si="0"/>
        <v>1.1907116810503535E-5</v>
      </c>
      <c r="C34" s="81">
        <v>4.6999999999999997E-5</v>
      </c>
      <c r="D34" s="81">
        <f t="shared" si="1"/>
        <v>0.25334291086177735</v>
      </c>
      <c r="E34" s="95" t="s">
        <v>118</v>
      </c>
      <c r="F34" s="81">
        <f t="shared" si="2"/>
        <v>8294.6754170000004</v>
      </c>
      <c r="G34" s="81">
        <v>34.520000000000003</v>
      </c>
      <c r="H34" s="81">
        <v>27.261239</v>
      </c>
      <c r="I34" s="76">
        <v>0</v>
      </c>
      <c r="L34" s="94">
        <f t="shared" si="3"/>
        <v>1.7218479845429257E-5</v>
      </c>
      <c r="M34" s="81">
        <v>4.6999999999999997E-5</v>
      </c>
      <c r="N34" s="81">
        <f t="shared" si="4"/>
        <v>0.36635063500913317</v>
      </c>
      <c r="O34" s="95" t="s">
        <v>118</v>
      </c>
      <c r="P34" s="81">
        <f t="shared" si="5"/>
        <v>8301.4907267500002</v>
      </c>
      <c r="Q34" s="81">
        <v>34.520000000000003</v>
      </c>
      <c r="R34" s="81">
        <v>27.261239</v>
      </c>
      <c r="S34" s="76">
        <v>0</v>
      </c>
      <c r="V34" s="94">
        <f t="shared" si="6"/>
        <v>2.2286505622544955E-5</v>
      </c>
      <c r="W34" s="81">
        <v>4.6999999999999997E-5</v>
      </c>
      <c r="X34" s="81">
        <f t="shared" si="7"/>
        <v>0.47418097069244591</v>
      </c>
      <c r="Y34" s="95" t="s">
        <v>118</v>
      </c>
      <c r="Z34" s="81">
        <f t="shared" si="8"/>
        <v>8308.3060365000001</v>
      </c>
      <c r="AA34" s="81">
        <v>34.520000000000003</v>
      </c>
      <c r="AB34" s="81">
        <v>27.261239</v>
      </c>
      <c r="AC34" s="76">
        <v>0</v>
      </c>
      <c r="AF34" s="94">
        <f t="shared" si="9"/>
        <v>2.7039571123664085E-5</v>
      </c>
      <c r="AG34" s="81">
        <v>4.6999999999999997E-5</v>
      </c>
      <c r="AH34" s="81">
        <f t="shared" si="10"/>
        <v>0.57531002390774655</v>
      </c>
      <c r="AI34" s="95" t="s">
        <v>118</v>
      </c>
      <c r="AJ34" s="81">
        <f t="shared" si="11"/>
        <v>8315.12134625</v>
      </c>
      <c r="AK34" s="81">
        <v>34.520000000000003</v>
      </c>
      <c r="AL34" s="81">
        <v>27.261239</v>
      </c>
      <c r="AM34" s="76">
        <v>0</v>
      </c>
      <c r="AP34" s="94">
        <f t="shared" si="12"/>
        <v>3.141050445349643E-5</v>
      </c>
      <c r="AQ34" s="81">
        <v>4.6999999999999997E-5</v>
      </c>
      <c r="AR34" s="81">
        <f t="shared" si="13"/>
        <v>0.66830860539354109</v>
      </c>
      <c r="AS34" s="95" t="s">
        <v>118</v>
      </c>
      <c r="AT34" s="81">
        <f t="shared" si="14"/>
        <v>8321.9366559999999</v>
      </c>
      <c r="AU34" s="81">
        <v>34.520000000000003</v>
      </c>
      <c r="AV34" s="81">
        <v>27.261239</v>
      </c>
      <c r="AW34" s="76">
        <v>0</v>
      </c>
    </row>
    <row r="35" spans="2:50" x14ac:dyDescent="0.2">
      <c r="B35" s="94">
        <f t="shared" si="0"/>
        <v>-3.7782282229217127E-5</v>
      </c>
      <c r="C35" s="81">
        <v>4.1999999999999998E-5</v>
      </c>
      <c r="D35" s="81">
        <f t="shared" si="1"/>
        <v>-0.89957814831469352</v>
      </c>
      <c r="E35" s="95" t="s">
        <v>117</v>
      </c>
      <c r="F35" s="81">
        <f t="shared" si="2"/>
        <v>244.10267199999998</v>
      </c>
      <c r="G35" s="81">
        <v>207.19</v>
      </c>
      <c r="H35" s="81">
        <v>0.121824</v>
      </c>
      <c r="I35" s="76">
        <v>0</v>
      </c>
      <c r="L35" s="94">
        <f t="shared" si="3"/>
        <v>-3.7792027735193414E-5</v>
      </c>
      <c r="M35" s="81">
        <v>4.1999999999999998E-5</v>
      </c>
      <c r="N35" s="81">
        <f t="shared" si="4"/>
        <v>-0.8998101841712719</v>
      </c>
      <c r="O35" s="95" t="s">
        <v>117</v>
      </c>
      <c r="P35" s="81">
        <f t="shared" si="5"/>
        <v>244.133128</v>
      </c>
      <c r="Q35" s="81">
        <v>207.19</v>
      </c>
      <c r="R35" s="81">
        <v>0.121824</v>
      </c>
      <c r="S35" s="76">
        <v>0</v>
      </c>
      <c r="V35" s="94">
        <f t="shared" si="6"/>
        <v>-3.7801762562905886E-5</v>
      </c>
      <c r="W35" s="81">
        <v>4.1999999999999998E-5</v>
      </c>
      <c r="X35" s="81">
        <f t="shared" si="7"/>
        <v>-0.90004196578347351</v>
      </c>
      <c r="Y35" s="95" t="s">
        <v>117</v>
      </c>
      <c r="Z35" s="81">
        <f t="shared" si="8"/>
        <v>244.16358400000001</v>
      </c>
      <c r="AA35" s="81">
        <v>207.19</v>
      </c>
      <c r="AB35" s="81">
        <v>0.121824</v>
      </c>
      <c r="AC35" s="76">
        <v>0</v>
      </c>
      <c r="AF35" s="94">
        <f t="shared" si="9"/>
        <v>-3.7811486709603909E-5</v>
      </c>
      <c r="AG35" s="81">
        <v>4.1999999999999998E-5</v>
      </c>
      <c r="AH35" s="81">
        <f t="shared" si="10"/>
        <v>-0.9002734930858074</v>
      </c>
      <c r="AI35" s="95" t="s">
        <v>117</v>
      </c>
      <c r="AJ35" s="81">
        <f t="shared" si="11"/>
        <v>244.19404</v>
      </c>
      <c r="AK35" s="81">
        <v>207.19</v>
      </c>
      <c r="AL35" s="81">
        <v>0.121824</v>
      </c>
      <c r="AM35" s="76">
        <v>0</v>
      </c>
      <c r="AP35" s="94">
        <f t="shared" si="12"/>
        <v>-3.7821200172539876E-5</v>
      </c>
      <c r="AQ35" s="81">
        <v>4.1999999999999998E-5</v>
      </c>
      <c r="AR35" s="81">
        <f t="shared" si="13"/>
        <v>-0.90050476601285423</v>
      </c>
      <c r="AS35" s="95" t="s">
        <v>117</v>
      </c>
      <c r="AT35" s="81">
        <f t="shared" si="14"/>
        <v>244.22449599999999</v>
      </c>
      <c r="AU35" s="81">
        <v>207.19</v>
      </c>
      <c r="AV35" s="81">
        <v>0.121824</v>
      </c>
      <c r="AW35" s="76">
        <v>0</v>
      </c>
    </row>
    <row r="36" spans="2:50" x14ac:dyDescent="0.2">
      <c r="B36" s="94">
        <f t="shared" si="0"/>
        <v>3.0557771777391892E-5</v>
      </c>
      <c r="C36" s="81">
        <v>4.0000000000000003E-5</v>
      </c>
      <c r="D36" s="81">
        <f t="shared" si="1"/>
        <v>0.76394429443479717</v>
      </c>
      <c r="E36" s="95" t="s">
        <v>116</v>
      </c>
      <c r="F36" s="81">
        <f t="shared" si="2"/>
        <v>850.18683699999997</v>
      </c>
      <c r="G36" s="81">
        <v>291.33999999999997</v>
      </c>
      <c r="H36" s="81">
        <v>1.844379</v>
      </c>
      <c r="I36" s="76">
        <v>0</v>
      </c>
      <c r="L36" s="94">
        <f t="shared" si="3"/>
        <v>3.0349065022927611E-5</v>
      </c>
      <c r="M36" s="81">
        <v>4.0000000000000003E-5</v>
      </c>
      <c r="N36" s="81">
        <f t="shared" si="4"/>
        <v>0.75872662557319026</v>
      </c>
      <c r="O36" s="95" t="s">
        <v>116</v>
      </c>
      <c r="P36" s="81">
        <f t="shared" si="5"/>
        <v>850.64793175</v>
      </c>
      <c r="Q36" s="81">
        <v>291.33999999999997</v>
      </c>
      <c r="R36" s="81">
        <v>1.844379</v>
      </c>
      <c r="S36" s="76">
        <v>0</v>
      </c>
      <c r="V36" s="94">
        <f t="shared" si="6"/>
        <v>3.0138392745770996E-5</v>
      </c>
      <c r="W36" s="81">
        <v>4.0000000000000003E-5</v>
      </c>
      <c r="X36" s="81">
        <f t="shared" si="7"/>
        <v>0.7534598186442748</v>
      </c>
      <c r="Y36" s="95" t="s">
        <v>116</v>
      </c>
      <c r="Z36" s="81">
        <f t="shared" si="8"/>
        <v>851.10902650000003</v>
      </c>
      <c r="AA36" s="81">
        <v>291.33999999999997</v>
      </c>
      <c r="AB36" s="81">
        <v>1.844379</v>
      </c>
      <c r="AC36" s="76">
        <v>0</v>
      </c>
      <c r="AF36" s="94">
        <f t="shared" si="9"/>
        <v>2.9925768589872647E-5</v>
      </c>
      <c r="AG36" s="81">
        <v>4.0000000000000003E-5</v>
      </c>
      <c r="AH36" s="81">
        <f t="shared" si="10"/>
        <v>0.74814421474681614</v>
      </c>
      <c r="AI36" s="95" t="s">
        <v>116</v>
      </c>
      <c r="AJ36" s="81">
        <f t="shared" si="11"/>
        <v>851.57012125000006</v>
      </c>
      <c r="AK36" s="81">
        <v>291.33999999999997</v>
      </c>
      <c r="AL36" s="81">
        <v>1.844379</v>
      </c>
      <c r="AM36" s="76">
        <v>0</v>
      </c>
      <c r="AP36" s="94">
        <f t="shared" si="12"/>
        <v>2.971120632559435E-5</v>
      </c>
      <c r="AQ36" s="81">
        <v>4.0000000000000003E-5</v>
      </c>
      <c r="AR36" s="81">
        <f t="shared" si="13"/>
        <v>0.74278015813985865</v>
      </c>
      <c r="AS36" s="95" t="s">
        <v>116</v>
      </c>
      <c r="AT36" s="81">
        <f t="shared" si="14"/>
        <v>852.03121599999986</v>
      </c>
      <c r="AU36" s="81">
        <v>291.33999999999997</v>
      </c>
      <c r="AV36" s="81">
        <v>1.844379</v>
      </c>
      <c r="AW36" s="76">
        <v>0</v>
      </c>
    </row>
    <row r="37" spans="2:50" x14ac:dyDescent="0.2">
      <c r="B37" s="94">
        <f t="shared" si="0"/>
        <v>-3.3863751141830726E-5</v>
      </c>
      <c r="C37" s="81">
        <v>3.6999999999999998E-5</v>
      </c>
      <c r="D37" s="81">
        <f t="shared" si="1"/>
        <v>-0.91523651734677647</v>
      </c>
      <c r="E37" s="95" t="s">
        <v>115</v>
      </c>
      <c r="F37" s="81">
        <f t="shared" si="2"/>
        <v>7493.7606619999997</v>
      </c>
      <c r="G37" s="81">
        <v>161.72</v>
      </c>
      <c r="H37" s="81">
        <v>24.198153999999999</v>
      </c>
      <c r="I37" s="76">
        <v>0</v>
      </c>
      <c r="L37" s="94">
        <f t="shared" si="3"/>
        <v>-3.2104047601207525E-5</v>
      </c>
      <c r="M37" s="81">
        <v>3.6999999999999998E-5</v>
      </c>
      <c r="N37" s="81">
        <f t="shared" si="4"/>
        <v>-0.86767696219479806</v>
      </c>
      <c r="O37" s="95" t="s">
        <v>115</v>
      </c>
      <c r="P37" s="81">
        <f t="shared" si="5"/>
        <v>7499.8102005000001</v>
      </c>
      <c r="Q37" s="81">
        <v>161.72</v>
      </c>
      <c r="R37" s="81">
        <v>24.198153999999999</v>
      </c>
      <c r="S37" s="76">
        <v>0</v>
      </c>
      <c r="V37" s="94">
        <f t="shared" si="6"/>
        <v>-2.998677863654368E-5</v>
      </c>
      <c r="W37" s="81">
        <v>3.6999999999999998E-5</v>
      </c>
      <c r="X37" s="81">
        <f t="shared" si="7"/>
        <v>-0.81045347666334278</v>
      </c>
      <c r="Y37" s="95" t="s">
        <v>115</v>
      </c>
      <c r="Z37" s="81">
        <f t="shared" si="8"/>
        <v>7505.8597389999995</v>
      </c>
      <c r="AA37" s="81">
        <v>161.72</v>
      </c>
      <c r="AB37" s="81">
        <v>24.198153999999999</v>
      </c>
      <c r="AC37" s="76">
        <v>0</v>
      </c>
      <c r="AF37" s="94">
        <f t="shared" si="9"/>
        <v>-2.7535525765801115E-5</v>
      </c>
      <c r="AG37" s="81">
        <v>3.6999999999999998E-5</v>
      </c>
      <c r="AH37" s="81">
        <f t="shared" si="10"/>
        <v>-0.74420339907570587</v>
      </c>
      <c r="AI37" s="95" t="s">
        <v>115</v>
      </c>
      <c r="AJ37" s="81">
        <f t="shared" si="11"/>
        <v>7511.9092774999999</v>
      </c>
      <c r="AK37" s="81">
        <v>161.72</v>
      </c>
      <c r="AL37" s="81">
        <v>24.198153999999999</v>
      </c>
      <c r="AM37" s="76">
        <v>0</v>
      </c>
      <c r="AP37" s="94">
        <f t="shared" si="12"/>
        <v>-2.4777590321292974E-5</v>
      </c>
      <c r="AQ37" s="81">
        <v>3.6999999999999998E-5</v>
      </c>
      <c r="AR37" s="81">
        <f t="shared" si="13"/>
        <v>-0.66966460327818855</v>
      </c>
      <c r="AS37" s="95" t="s">
        <v>115</v>
      </c>
      <c r="AT37" s="81">
        <f t="shared" si="14"/>
        <v>7517.9588160000003</v>
      </c>
      <c r="AU37" s="81">
        <v>161.72</v>
      </c>
      <c r="AV37" s="81">
        <v>24.198153999999999</v>
      </c>
      <c r="AW37" s="76">
        <v>0</v>
      </c>
    </row>
    <row r="38" spans="2:50" x14ac:dyDescent="0.2">
      <c r="B38" s="94">
        <f t="shared" si="0"/>
        <v>2.682293793866622E-5</v>
      </c>
      <c r="C38" s="81">
        <v>3.4999999999999997E-5</v>
      </c>
      <c r="D38" s="81">
        <f t="shared" si="1"/>
        <v>0.76636965539046353</v>
      </c>
      <c r="E38" s="95" t="s">
        <v>114</v>
      </c>
      <c r="F38" s="81">
        <f t="shared" si="2"/>
        <v>7970.0289970000003</v>
      </c>
      <c r="G38" s="81">
        <v>239.56</v>
      </c>
      <c r="H38" s="81">
        <v>25.513099</v>
      </c>
      <c r="I38" s="76">
        <v>0</v>
      </c>
      <c r="L38" s="94">
        <f t="shared" si="3"/>
        <v>2.915470138813527E-5</v>
      </c>
      <c r="M38" s="81">
        <v>3.4999999999999997E-5</v>
      </c>
      <c r="N38" s="81">
        <f t="shared" si="4"/>
        <v>0.83299146823243642</v>
      </c>
      <c r="O38" s="95" t="s">
        <v>114</v>
      </c>
      <c r="P38" s="81">
        <f t="shared" si="5"/>
        <v>7976.4072717500003</v>
      </c>
      <c r="Q38" s="81">
        <v>239.56</v>
      </c>
      <c r="R38" s="81">
        <v>25.513099</v>
      </c>
      <c r="S38" s="76">
        <v>0</v>
      </c>
      <c r="V38" s="94">
        <f t="shared" si="6"/>
        <v>3.1125536292841303E-5</v>
      </c>
      <c r="W38" s="81">
        <v>3.4999999999999997E-5</v>
      </c>
      <c r="X38" s="81">
        <f t="shared" si="7"/>
        <v>0.88930103693832296</v>
      </c>
      <c r="Y38" s="95" t="s">
        <v>114</v>
      </c>
      <c r="Z38" s="81">
        <f t="shared" si="8"/>
        <v>7982.7855465000002</v>
      </c>
      <c r="AA38" s="81">
        <v>239.56</v>
      </c>
      <c r="AB38" s="81">
        <v>25.513099</v>
      </c>
      <c r="AC38" s="76">
        <v>0</v>
      </c>
      <c r="AF38" s="94">
        <f t="shared" si="9"/>
        <v>3.2711044166768149E-5</v>
      </c>
      <c r="AG38" s="81">
        <v>3.4999999999999997E-5</v>
      </c>
      <c r="AH38" s="81">
        <f t="shared" si="10"/>
        <v>0.93460126190766146</v>
      </c>
      <c r="AI38" s="95" t="s">
        <v>114</v>
      </c>
      <c r="AJ38" s="81">
        <f t="shared" si="11"/>
        <v>7989.1638212500002</v>
      </c>
      <c r="AK38" s="81">
        <v>239.56</v>
      </c>
      <c r="AL38" s="81">
        <v>25.513099</v>
      </c>
      <c r="AM38" s="76">
        <v>0</v>
      </c>
      <c r="AP38" s="94">
        <f t="shared" si="12"/>
        <v>3.389159678453877E-5</v>
      </c>
      <c r="AQ38" s="81">
        <v>3.4999999999999997E-5</v>
      </c>
      <c r="AR38" s="81">
        <f t="shared" si="13"/>
        <v>0.96833133670110771</v>
      </c>
      <c r="AS38" s="95" t="s">
        <v>114</v>
      </c>
      <c r="AT38" s="81">
        <f t="shared" si="14"/>
        <v>7995.5420960000001</v>
      </c>
      <c r="AU38" s="81">
        <v>239.56</v>
      </c>
      <c r="AV38" s="81">
        <v>25.513099</v>
      </c>
      <c r="AW38" s="76">
        <v>0</v>
      </c>
    </row>
    <row r="39" spans="2:50" x14ac:dyDescent="0.2">
      <c r="B39" s="96">
        <f t="shared" si="0"/>
        <v>-7.835163420687744E-6</v>
      </c>
      <c r="C39" s="85">
        <v>2.3E-5</v>
      </c>
      <c r="D39" s="85">
        <f t="shared" si="1"/>
        <v>-0.34065927916033667</v>
      </c>
      <c r="E39" s="97" t="s">
        <v>113</v>
      </c>
      <c r="F39" s="85">
        <f t="shared" si="2"/>
        <v>1420.082954</v>
      </c>
      <c r="G39" s="85">
        <v>331.55</v>
      </c>
      <c r="H39" s="85">
        <v>3.5925180000000001</v>
      </c>
      <c r="I39" s="74">
        <v>0</v>
      </c>
      <c r="L39" s="96">
        <f t="shared" si="3"/>
        <v>-7.4952470055601319E-6</v>
      </c>
      <c r="M39" s="85">
        <v>2.3E-5</v>
      </c>
      <c r="N39" s="85">
        <f t="shared" si="4"/>
        <v>-0.32588030458957096</v>
      </c>
      <c r="O39" s="97" t="s">
        <v>113</v>
      </c>
      <c r="P39" s="85">
        <f t="shared" si="5"/>
        <v>1420.9810835000001</v>
      </c>
      <c r="Q39" s="85">
        <v>331.55</v>
      </c>
      <c r="R39" s="85">
        <v>3.5925180000000001</v>
      </c>
      <c r="S39" s="74">
        <v>0</v>
      </c>
      <c r="V39" s="96">
        <f t="shared" si="6"/>
        <v>-7.1534889293324767E-6</v>
      </c>
      <c r="W39" s="85">
        <v>2.3E-5</v>
      </c>
      <c r="X39" s="85">
        <f t="shared" si="7"/>
        <v>-0.31102125779706419</v>
      </c>
      <c r="Y39" s="97" t="s">
        <v>113</v>
      </c>
      <c r="Z39" s="85">
        <f t="shared" si="8"/>
        <v>1421.8792129999999</v>
      </c>
      <c r="AA39" s="85">
        <v>331.55</v>
      </c>
      <c r="AB39" s="85">
        <v>3.5925180000000001</v>
      </c>
      <c r="AC39" s="74">
        <v>0</v>
      </c>
      <c r="AF39" s="96">
        <f t="shared" si="9"/>
        <v>-6.8099731655620207E-6</v>
      </c>
      <c r="AG39" s="85">
        <v>2.3E-5</v>
      </c>
      <c r="AH39" s="85">
        <f t="shared" si="10"/>
        <v>-0.29608578980704436</v>
      </c>
      <c r="AI39" s="97" t="s">
        <v>113</v>
      </c>
      <c r="AJ39" s="85">
        <f t="shared" si="11"/>
        <v>1422.7773425</v>
      </c>
      <c r="AK39" s="85">
        <v>331.55</v>
      </c>
      <c r="AL39" s="85">
        <v>3.5925180000000001</v>
      </c>
      <c r="AM39" s="74">
        <v>0</v>
      </c>
      <c r="AP39" s="96">
        <f t="shared" si="12"/>
        <v>-6.464784119688576E-6</v>
      </c>
      <c r="AQ39" s="85">
        <v>2.3E-5</v>
      </c>
      <c r="AR39" s="85">
        <f t="shared" si="13"/>
        <v>-0.28107757042124243</v>
      </c>
      <c r="AS39" s="97" t="s">
        <v>113</v>
      </c>
      <c r="AT39" s="85">
        <f t="shared" si="14"/>
        <v>1423.6754719999999</v>
      </c>
      <c r="AU39" s="85">
        <v>331.55</v>
      </c>
      <c r="AV39" s="85">
        <v>3.5925180000000001</v>
      </c>
      <c r="AW39" s="74">
        <v>0</v>
      </c>
    </row>
    <row r="40" spans="2:50" x14ac:dyDescent="0.2">
      <c r="B40" s="98">
        <f>SUM(B26:B39)</f>
        <v>-3.373260833516886E-4</v>
      </c>
      <c r="L40" s="98">
        <f>SUM(L26:L39)</f>
        <v>-3.4157526907928532E-4</v>
      </c>
      <c r="V40" s="98">
        <f>SUM(V26:V39)</f>
        <v>-3.482521686987787E-4</v>
      </c>
      <c r="AF40" s="98">
        <f>SUM(AF26:AF39)</f>
        <v>-3.5698396399114814E-4</v>
      </c>
      <c r="AP40" s="99">
        <f>SUM(AP26:AP39)</f>
        <v>-3.6728155189427855E-4</v>
      </c>
    </row>
    <row r="42" spans="2:50" x14ac:dyDescent="0.2">
      <c r="B42" s="155" t="s">
        <v>112</v>
      </c>
      <c r="C42" s="156"/>
      <c r="D42" s="155" t="s">
        <v>111</v>
      </c>
      <c r="E42" s="156"/>
      <c r="F42" s="100" t="s">
        <v>109</v>
      </c>
      <c r="G42" s="101" t="s">
        <v>47</v>
      </c>
      <c r="H42" s="101" t="s">
        <v>57</v>
      </c>
      <c r="I42" s="101" t="s">
        <v>55</v>
      </c>
      <c r="J42" s="102" t="s">
        <v>108</v>
      </c>
      <c r="L42" s="155" t="s">
        <v>112</v>
      </c>
      <c r="M42" s="156"/>
      <c r="N42" s="155" t="s">
        <v>111</v>
      </c>
      <c r="O42" s="156"/>
      <c r="P42" s="103" t="s">
        <v>109</v>
      </c>
      <c r="Q42" s="101" t="s">
        <v>47</v>
      </c>
      <c r="R42" s="101" t="s">
        <v>57</v>
      </c>
      <c r="S42" s="101" t="s">
        <v>55</v>
      </c>
      <c r="T42" s="102" t="s">
        <v>108</v>
      </c>
      <c r="V42" s="155" t="s">
        <v>112</v>
      </c>
      <c r="W42" s="156"/>
      <c r="X42" s="155" t="s">
        <v>111</v>
      </c>
      <c r="Y42" s="156"/>
      <c r="Z42" s="103" t="s">
        <v>109</v>
      </c>
      <c r="AA42" s="101" t="s">
        <v>47</v>
      </c>
      <c r="AB42" s="101" t="s">
        <v>57</v>
      </c>
      <c r="AC42" s="101" t="s">
        <v>55</v>
      </c>
      <c r="AD42" s="102" t="s">
        <v>108</v>
      </c>
      <c r="AF42" s="155" t="s">
        <v>112</v>
      </c>
      <c r="AG42" s="156"/>
      <c r="AH42" s="155" t="s">
        <v>111</v>
      </c>
      <c r="AI42" s="156"/>
      <c r="AJ42" s="103" t="s">
        <v>109</v>
      </c>
      <c r="AK42" s="101" t="s">
        <v>47</v>
      </c>
      <c r="AL42" s="101" t="s">
        <v>57</v>
      </c>
      <c r="AM42" s="101" t="s">
        <v>55</v>
      </c>
      <c r="AN42" s="102" t="s">
        <v>108</v>
      </c>
      <c r="AP42" s="155" t="s">
        <v>112</v>
      </c>
      <c r="AQ42" s="156"/>
      <c r="AR42" s="155" t="s">
        <v>111</v>
      </c>
      <c r="AS42" s="156"/>
      <c r="AT42" s="103" t="s">
        <v>109</v>
      </c>
      <c r="AU42" s="101" t="s">
        <v>47</v>
      </c>
      <c r="AV42" s="101" t="s">
        <v>57</v>
      </c>
      <c r="AW42" s="101" t="s">
        <v>55</v>
      </c>
      <c r="AX42" s="102" t="s">
        <v>108</v>
      </c>
    </row>
    <row r="43" spans="2:50" x14ac:dyDescent="0.2">
      <c r="B43" s="104">
        <v>-0.40720000000000001</v>
      </c>
      <c r="C43" s="75">
        <f t="shared" ref="C43:C67" si="15">B43*F43</f>
        <v>-0.39493822962582181</v>
      </c>
      <c r="D43" s="104">
        <v>-0.40614</v>
      </c>
      <c r="E43" s="77">
        <f t="shared" ref="E43:E67" si="16">D43*F43</f>
        <v>-0.39391014877267011</v>
      </c>
      <c r="F43" s="105">
        <f t="shared" ref="F43:F67" si="17">SIN($C$4*(G43*C$19+H43*C$20+I43*C$21+J43*C$22))</f>
        <v>0.96988759731292196</v>
      </c>
      <c r="G43" s="106">
        <v>0</v>
      </c>
      <c r="H43" s="106">
        <v>1</v>
      </c>
      <c r="I43" s="106">
        <v>0</v>
      </c>
      <c r="J43" s="107">
        <v>0</v>
      </c>
      <c r="L43" s="104">
        <v>-0.40720000000000001</v>
      </c>
      <c r="M43" s="75">
        <f t="shared" ref="M43:M67" si="18">L43*P43</f>
        <v>0.14294102795067673</v>
      </c>
      <c r="N43" s="104">
        <v>-0.40614</v>
      </c>
      <c r="O43" s="77">
        <f t="shared" ref="O43:O67" si="19">N43*P43</f>
        <v>0.14256893195453793</v>
      </c>
      <c r="P43" s="105">
        <f t="shared" ref="P43:P67" si="20">SIN($C$4*(Q43*M$19+R43*M$20+S43*M$21+T43*M$22))</f>
        <v>-0.35103395862150472</v>
      </c>
      <c r="Q43" s="106">
        <v>0</v>
      </c>
      <c r="R43" s="106">
        <v>1</v>
      </c>
      <c r="S43" s="106">
        <v>0</v>
      </c>
      <c r="T43" s="107">
        <v>0</v>
      </c>
      <c r="V43" s="104">
        <v>-0.40720000000000001</v>
      </c>
      <c r="W43" s="75">
        <f t="shared" ref="W43:W67" si="21">V43*Z43</f>
        <v>0.36280235342389749</v>
      </c>
      <c r="X43" s="104">
        <v>-0.40614</v>
      </c>
      <c r="Y43" s="77">
        <f t="shared" ref="Y43:Y67" si="22">X43*Z43</f>
        <v>0.36185792686537749</v>
      </c>
      <c r="Z43" s="105">
        <f t="shared" ref="Z43:Z67" si="23">SIN($C$4*(AA43*W$19+AB43*W$20+AC43*W$21+AD43*W$22))</f>
        <v>-0.89096845143393288</v>
      </c>
      <c r="AA43" s="106">
        <v>0</v>
      </c>
      <c r="AB43" s="106">
        <v>1</v>
      </c>
      <c r="AC43" s="106">
        <v>0</v>
      </c>
      <c r="AD43" s="107">
        <v>0</v>
      </c>
      <c r="AF43" s="104">
        <v>-0.40720000000000001</v>
      </c>
      <c r="AG43" s="75">
        <f t="shared" ref="AG43:AG67" si="24">AF43*AJ43</f>
        <v>-0.22450593400905838</v>
      </c>
      <c r="AH43" s="104">
        <v>-0.40614</v>
      </c>
      <c r="AI43" s="77">
        <f t="shared" ref="AI43:AI67" si="25">AH43*AJ43</f>
        <v>-0.22392151286453577</v>
      </c>
      <c r="AJ43" s="105">
        <f t="shared" ref="AJ43:AJ67" si="26">SIN($C$4*(AK43*AG$19+AL43*AG$20+AM43*AG$21+AN43*AG$22))</f>
        <v>0.55134070237980937</v>
      </c>
      <c r="AK43" s="106">
        <v>0</v>
      </c>
      <c r="AL43" s="106">
        <v>1</v>
      </c>
      <c r="AM43" s="106">
        <v>0</v>
      </c>
      <c r="AN43" s="107">
        <v>0</v>
      </c>
      <c r="AP43" s="104">
        <v>-0.40720000000000001</v>
      </c>
      <c r="AQ43" s="75">
        <f t="shared" ref="AQ43:AQ67" si="27">AP43*AT43</f>
        <v>-0.31232912675672775</v>
      </c>
      <c r="AR43" s="104">
        <v>-0.40614</v>
      </c>
      <c r="AS43" s="77">
        <f t="shared" ref="AS43:AS67" si="28">AR43*AT43</f>
        <v>-0.31151608924601526</v>
      </c>
      <c r="AT43" s="105">
        <f t="shared" ref="AT43:AT67" si="29">SIN($C$4*(AU43*AQ$19+AV43*AQ$20+AW43*AQ$21+AX43*AQ$22))</f>
        <v>0.76701651954009764</v>
      </c>
      <c r="AU43" s="106">
        <v>0</v>
      </c>
      <c r="AV43" s="106">
        <v>1</v>
      </c>
      <c r="AW43" s="106">
        <v>0</v>
      </c>
      <c r="AX43" s="107">
        <v>0</v>
      </c>
    </row>
    <row r="44" spans="2:50" x14ac:dyDescent="0.2">
      <c r="B44" s="94">
        <f>0.17241*C$16</f>
        <v>0.17230365636788014</v>
      </c>
      <c r="C44" s="76">
        <f t="shared" si="15"/>
        <v>-4.4396641202769311E-3</v>
      </c>
      <c r="D44" s="94">
        <f>0.17302*C$16</f>
        <v>0.17291328011583215</v>
      </c>
      <c r="E44" s="81">
        <f t="shared" si="16"/>
        <v>-4.4553719975077696E-3</v>
      </c>
      <c r="F44" s="108">
        <f t="shared" si="17"/>
        <v>-2.5766511366409679E-2</v>
      </c>
      <c r="G44" s="106">
        <v>1</v>
      </c>
      <c r="H44" s="106">
        <v>0</v>
      </c>
      <c r="I44" s="106">
        <v>0</v>
      </c>
      <c r="J44" s="107">
        <v>0</v>
      </c>
      <c r="L44" s="94">
        <f>0.17241*M$16</f>
        <v>0.17230356856238266</v>
      </c>
      <c r="M44" s="76">
        <f t="shared" si="18"/>
        <v>-2.6219768988624392E-2</v>
      </c>
      <c r="N44" s="94">
        <f>0.17302*M$16</f>
        <v>0.17291319199967198</v>
      </c>
      <c r="O44" s="81">
        <f t="shared" si="19"/>
        <v>-2.6312536572192981E-2</v>
      </c>
      <c r="P44" s="108">
        <f t="shared" si="20"/>
        <v>-0.15217194401363487</v>
      </c>
      <c r="Q44" s="106">
        <v>1</v>
      </c>
      <c r="R44" s="106">
        <v>0</v>
      </c>
      <c r="S44" s="106">
        <v>0</v>
      </c>
      <c r="T44" s="107">
        <v>0</v>
      </c>
      <c r="V44" s="94">
        <f>0.17241*W$16</f>
        <v>0.17230348075678095</v>
      </c>
      <c r="W44" s="76">
        <f t="shared" si="21"/>
        <v>-4.7577547387910875E-2</v>
      </c>
      <c r="X44" s="94">
        <f>0.17302*W$16</f>
        <v>0.17291310388340722</v>
      </c>
      <c r="Y44" s="81">
        <f t="shared" si="22"/>
        <v>-4.7745880453896751E-2</v>
      </c>
      <c r="Z44" s="108">
        <f t="shared" si="23"/>
        <v>-0.27612644375461043</v>
      </c>
      <c r="AA44" s="106">
        <v>1</v>
      </c>
      <c r="AB44" s="106">
        <v>0</v>
      </c>
      <c r="AC44" s="106">
        <v>0</v>
      </c>
      <c r="AD44" s="107">
        <v>0</v>
      </c>
      <c r="AF44" s="94">
        <f>0.17241*AG$16</f>
        <v>0.17230339295107494</v>
      </c>
      <c r="AG44" s="76">
        <f t="shared" si="24"/>
        <v>-6.8169004306086592E-2</v>
      </c>
      <c r="AH44" s="94">
        <f>0.17302*AG$16</f>
        <v>0.1729130157670378</v>
      </c>
      <c r="AI44" s="81">
        <f t="shared" si="25"/>
        <v>-6.8410191549440877E-2</v>
      </c>
      <c r="AJ44" s="108">
        <f t="shared" si="26"/>
        <v>-0.39563355740442663</v>
      </c>
      <c r="AK44" s="106">
        <v>1</v>
      </c>
      <c r="AL44" s="106">
        <v>0</v>
      </c>
      <c r="AM44" s="106">
        <v>0</v>
      </c>
      <c r="AN44" s="107">
        <v>0</v>
      </c>
      <c r="AP44" s="94">
        <f>0.17241*AQ$16</f>
        <v>0.17230330514526473</v>
      </c>
      <c r="AQ44" s="76">
        <f t="shared" si="27"/>
        <v>-8.7662487708919476E-2</v>
      </c>
      <c r="AR44" s="94">
        <f>0.17302*AQ$16</f>
        <v>0.17291292765056379</v>
      </c>
      <c r="AS44" s="81">
        <f t="shared" si="28"/>
        <v>-8.797264441388114E-2</v>
      </c>
      <c r="AT44" s="108">
        <f t="shared" si="29"/>
        <v>-0.50876846288591715</v>
      </c>
      <c r="AU44" s="106">
        <v>1</v>
      </c>
      <c r="AV44" s="106">
        <v>0</v>
      </c>
      <c r="AW44" s="106">
        <v>0</v>
      </c>
      <c r="AX44" s="107">
        <v>0</v>
      </c>
    </row>
    <row r="45" spans="2:50" x14ac:dyDescent="0.2">
      <c r="B45" s="94">
        <v>1.6080000000000001E-2</v>
      </c>
      <c r="C45" s="76">
        <f t="shared" si="15"/>
        <v>-7.5968031577923912E-3</v>
      </c>
      <c r="D45" s="94">
        <v>1.6140000000000002E-2</v>
      </c>
      <c r="E45" s="81">
        <f t="shared" si="16"/>
        <v>-7.6251494382319155E-3</v>
      </c>
      <c r="F45" s="108">
        <f t="shared" si="17"/>
        <v>-0.47243800732539742</v>
      </c>
      <c r="G45" s="106">
        <v>0</v>
      </c>
      <c r="H45" s="106">
        <v>2</v>
      </c>
      <c r="I45" s="106">
        <v>0</v>
      </c>
      <c r="J45" s="107">
        <v>0</v>
      </c>
      <c r="L45" s="94">
        <v>1.6080000000000001E-2</v>
      </c>
      <c r="M45" s="76">
        <f t="shared" si="18"/>
        <v>1.0570834911197605E-2</v>
      </c>
      <c r="N45" s="94">
        <v>1.6140000000000002E-2</v>
      </c>
      <c r="O45" s="81">
        <f t="shared" si="19"/>
        <v>1.0610278325045358E-2</v>
      </c>
      <c r="P45" s="108">
        <f t="shared" si="20"/>
        <v>0.65739023079587089</v>
      </c>
      <c r="Q45" s="106">
        <v>0</v>
      </c>
      <c r="R45" s="106">
        <v>2</v>
      </c>
      <c r="S45" s="106">
        <v>0</v>
      </c>
      <c r="T45" s="107">
        <v>0</v>
      </c>
      <c r="V45" s="94">
        <v>1.6080000000000001E-2</v>
      </c>
      <c r="W45" s="76">
        <f t="shared" si="21"/>
        <v>-1.3010578222566566E-2</v>
      </c>
      <c r="X45" s="94">
        <v>1.6140000000000002E-2</v>
      </c>
      <c r="Y45" s="81">
        <f t="shared" si="22"/>
        <v>-1.305912515623286E-2</v>
      </c>
      <c r="Z45" s="108">
        <f t="shared" si="23"/>
        <v>-0.80911556110488592</v>
      </c>
      <c r="AA45" s="106">
        <v>0</v>
      </c>
      <c r="AB45" s="106">
        <v>2</v>
      </c>
      <c r="AC45" s="106">
        <v>0</v>
      </c>
      <c r="AD45" s="107">
        <v>0</v>
      </c>
      <c r="AF45" s="94">
        <v>1.6080000000000001E-2</v>
      </c>
      <c r="AG45" s="76">
        <f t="shared" si="24"/>
        <v>1.4792719591372698E-2</v>
      </c>
      <c r="AH45" s="94">
        <v>1.6140000000000002E-2</v>
      </c>
      <c r="AI45" s="81">
        <f t="shared" si="25"/>
        <v>1.4847916306265882E-2</v>
      </c>
      <c r="AJ45" s="108">
        <f t="shared" si="26"/>
        <v>0.91994524821969514</v>
      </c>
      <c r="AK45" s="106">
        <v>0</v>
      </c>
      <c r="AL45" s="106">
        <v>2</v>
      </c>
      <c r="AM45" s="106">
        <v>0</v>
      </c>
      <c r="AN45" s="107">
        <v>0</v>
      </c>
      <c r="AP45" s="94">
        <v>1.6080000000000001E-2</v>
      </c>
      <c r="AQ45" s="76">
        <f t="shared" si="27"/>
        <v>-1.582718311089323E-2</v>
      </c>
      <c r="AR45" s="94">
        <v>1.6140000000000002E-2</v>
      </c>
      <c r="AS45" s="81">
        <f t="shared" si="28"/>
        <v>-1.5886239764292084E-2</v>
      </c>
      <c r="AT45" s="108">
        <f t="shared" si="29"/>
        <v>-0.98427755664758887</v>
      </c>
      <c r="AU45" s="106">
        <v>0</v>
      </c>
      <c r="AV45" s="106">
        <v>2</v>
      </c>
      <c r="AW45" s="106">
        <v>0</v>
      </c>
      <c r="AX45" s="107">
        <v>0</v>
      </c>
    </row>
    <row r="46" spans="2:50" x14ac:dyDescent="0.2">
      <c r="B46" s="94">
        <v>1.039E-2</v>
      </c>
      <c r="C46" s="76">
        <f t="shared" si="15"/>
        <v>-1.4003939710859714E-3</v>
      </c>
      <c r="D46" s="94">
        <v>1.043E-2</v>
      </c>
      <c r="E46" s="81">
        <f t="shared" si="16"/>
        <v>-1.4057852857003543E-3</v>
      </c>
      <c r="F46" s="108">
        <f t="shared" si="17"/>
        <v>-0.13478286535957376</v>
      </c>
      <c r="G46" s="106">
        <v>0</v>
      </c>
      <c r="H46" s="106">
        <v>0</v>
      </c>
      <c r="I46" s="106">
        <v>2</v>
      </c>
      <c r="J46" s="107">
        <v>0</v>
      </c>
      <c r="L46" s="94">
        <v>1.039E-2</v>
      </c>
      <c r="M46" s="76">
        <f t="shared" si="18"/>
        <v>4.0732658108474616E-3</v>
      </c>
      <c r="N46" s="94">
        <v>1.043E-2</v>
      </c>
      <c r="O46" s="81">
        <f t="shared" si="19"/>
        <v>4.088947296163525E-3</v>
      </c>
      <c r="P46" s="108">
        <f t="shared" si="20"/>
        <v>0.39203713290158437</v>
      </c>
      <c r="Q46" s="106">
        <v>0</v>
      </c>
      <c r="R46" s="106">
        <v>0</v>
      </c>
      <c r="S46" s="106">
        <v>2</v>
      </c>
      <c r="T46" s="107">
        <v>0</v>
      </c>
      <c r="V46" s="94">
        <v>1.039E-2</v>
      </c>
      <c r="W46" s="76">
        <f t="shared" si="21"/>
        <v>-6.4560794867588554E-3</v>
      </c>
      <c r="X46" s="94">
        <v>1.043E-2</v>
      </c>
      <c r="Y46" s="81">
        <f t="shared" si="22"/>
        <v>-6.4809344607213541E-3</v>
      </c>
      <c r="Z46" s="108">
        <f t="shared" si="23"/>
        <v>-0.62137434906245004</v>
      </c>
      <c r="AA46" s="106">
        <v>0</v>
      </c>
      <c r="AB46" s="106">
        <v>0</v>
      </c>
      <c r="AC46" s="106">
        <v>2</v>
      </c>
      <c r="AD46" s="107">
        <v>0</v>
      </c>
      <c r="AF46" s="94">
        <v>1.039E-2</v>
      </c>
      <c r="AG46" s="76">
        <f t="shared" si="24"/>
        <v>8.3791543073101476E-3</v>
      </c>
      <c r="AH46" s="94">
        <v>1.043E-2</v>
      </c>
      <c r="AI46" s="81">
        <f t="shared" si="25"/>
        <v>8.4114128416982528E-3</v>
      </c>
      <c r="AJ46" s="108">
        <f t="shared" si="26"/>
        <v>0.80646335970261285</v>
      </c>
      <c r="AK46" s="106">
        <v>0</v>
      </c>
      <c r="AL46" s="106">
        <v>0</v>
      </c>
      <c r="AM46" s="106">
        <v>2</v>
      </c>
      <c r="AN46" s="107">
        <v>0</v>
      </c>
      <c r="AP46" s="94">
        <v>1.039E-2</v>
      </c>
      <c r="AQ46" s="76">
        <f t="shared" si="27"/>
        <v>-9.7055476870997592E-3</v>
      </c>
      <c r="AR46" s="94">
        <v>1.043E-2</v>
      </c>
      <c r="AS46" s="81">
        <f t="shared" si="28"/>
        <v>-9.7429126445091902E-3</v>
      </c>
      <c r="AT46" s="108">
        <f t="shared" si="29"/>
        <v>-0.93412393523578041</v>
      </c>
      <c r="AU46" s="106">
        <v>0</v>
      </c>
      <c r="AV46" s="106">
        <v>0</v>
      </c>
      <c r="AW46" s="106">
        <v>2</v>
      </c>
      <c r="AX46" s="107">
        <v>0</v>
      </c>
    </row>
    <row r="47" spans="2:50" x14ac:dyDescent="0.2">
      <c r="B47" s="94">
        <f>0.00739*C$16</f>
        <v>7.3854417989596549E-3</v>
      </c>
      <c r="C47" s="76">
        <f t="shared" si="15"/>
        <v>-7.2070176021802402E-3</v>
      </c>
      <c r="D47" s="94">
        <f>0.00734*C$16</f>
        <v>7.3354726392914574E-3</v>
      </c>
      <c r="E47" s="81">
        <f t="shared" si="16"/>
        <v>-7.1582556427608884E-3</v>
      </c>
      <c r="F47" s="108">
        <f t="shared" si="17"/>
        <v>-0.9758410936493267</v>
      </c>
      <c r="G47" s="106">
        <v>-1</v>
      </c>
      <c r="H47" s="106">
        <v>1</v>
      </c>
      <c r="I47" s="106">
        <v>0</v>
      </c>
      <c r="J47" s="107">
        <v>0</v>
      </c>
      <c r="L47" s="94">
        <f>0.00739*M$16</f>
        <v>7.3854380353576233E-3</v>
      </c>
      <c r="M47" s="76">
        <f t="shared" si="18"/>
        <v>1.5100096214028297E-3</v>
      </c>
      <c r="N47" s="94">
        <f>0.00734*M$16</f>
        <v>7.3354689011535801E-3</v>
      </c>
      <c r="O47" s="81">
        <f t="shared" si="19"/>
        <v>1.4997930475097118E-3</v>
      </c>
      <c r="P47" s="108">
        <f t="shared" si="20"/>
        <v>0.2044576928509442</v>
      </c>
      <c r="Q47" s="106">
        <v>-1</v>
      </c>
      <c r="R47" s="106">
        <v>1</v>
      </c>
      <c r="S47" s="106">
        <v>0</v>
      </c>
      <c r="T47" s="107">
        <v>0</v>
      </c>
      <c r="V47" s="94">
        <f>0.00739*W$16</f>
        <v>7.3854342717511231E-3</v>
      </c>
      <c r="W47" s="76">
        <f t="shared" si="21"/>
        <v>7.2503412722326353E-3</v>
      </c>
      <c r="X47" s="94">
        <f>0.00734*W$16</f>
        <v>7.3354651630112644E-3</v>
      </c>
      <c r="Y47" s="81">
        <f t="shared" si="22"/>
        <v>7.2012861891999382E-3</v>
      </c>
      <c r="Z47" s="108">
        <f t="shared" si="23"/>
        <v>0.98170818471227739</v>
      </c>
      <c r="AA47" s="106">
        <v>-1</v>
      </c>
      <c r="AB47" s="106">
        <v>1</v>
      </c>
      <c r="AC47" s="106">
        <v>0</v>
      </c>
      <c r="AD47" s="107">
        <v>0</v>
      </c>
      <c r="AF47" s="94">
        <f>0.00739*AG$16</f>
        <v>7.3854305081401525E-3</v>
      </c>
      <c r="AG47" s="76">
        <f t="shared" si="24"/>
        <v>-1.3019533491055754E-3</v>
      </c>
      <c r="AH47" s="94">
        <f>0.00734*AG$16</f>
        <v>7.3354614248645087E-3</v>
      </c>
      <c r="AI47" s="81">
        <f t="shared" si="25"/>
        <v>-1.2931444631170397E-3</v>
      </c>
      <c r="AJ47" s="108">
        <f t="shared" si="26"/>
        <v>-0.17628672393174299</v>
      </c>
      <c r="AK47" s="106">
        <v>-1</v>
      </c>
      <c r="AL47" s="106">
        <v>1</v>
      </c>
      <c r="AM47" s="106">
        <v>0</v>
      </c>
      <c r="AN47" s="107">
        <v>0</v>
      </c>
      <c r="AP47" s="94">
        <f>0.00739*AQ$16</f>
        <v>7.3854267445247158E-3</v>
      </c>
      <c r="AQ47" s="76">
        <f t="shared" si="27"/>
        <v>-7.2876945456423429E-3</v>
      </c>
      <c r="AR47" s="94">
        <f>0.00734*AQ$16</f>
        <v>7.3354576867133174E-3</v>
      </c>
      <c r="AS47" s="81">
        <f t="shared" si="28"/>
        <v>-7.2383867341021379E-3</v>
      </c>
      <c r="AT47" s="108">
        <f t="shared" si="29"/>
        <v>-0.98676688534554513</v>
      </c>
      <c r="AU47" s="106">
        <v>-1</v>
      </c>
      <c r="AV47" s="106">
        <v>1</v>
      </c>
      <c r="AW47" s="106">
        <v>0</v>
      </c>
      <c r="AX47" s="107">
        <v>0</v>
      </c>
    </row>
    <row r="48" spans="2:50" x14ac:dyDescent="0.2">
      <c r="B48" s="94">
        <f>-0.00514*C$16</f>
        <v>-5.136829613890748E-3</v>
      </c>
      <c r="C48" s="76">
        <f t="shared" si="15"/>
        <v>4.9482569736248212E-3</v>
      </c>
      <c r="D48" s="94">
        <f>-0.00515*C$16</f>
        <v>-5.1468234458243878E-3</v>
      </c>
      <c r="E48" s="81">
        <f t="shared" si="16"/>
        <v>4.9578839327174768E-3</v>
      </c>
      <c r="F48" s="108">
        <f t="shared" si="17"/>
        <v>-0.96329007297497304</v>
      </c>
      <c r="G48" s="106">
        <v>1</v>
      </c>
      <c r="H48" s="106">
        <v>1</v>
      </c>
      <c r="I48" s="106">
        <v>0</v>
      </c>
      <c r="J48" s="107">
        <v>0</v>
      </c>
      <c r="L48" s="94">
        <f>-0.00514*M$16</f>
        <v>-5.1368269961756668E-3</v>
      </c>
      <c r="M48" s="76">
        <f t="shared" si="18"/>
        <v>-2.5141376111364284E-3</v>
      </c>
      <c r="N48" s="94">
        <f>-0.00515*M$16</f>
        <v>-5.146820823016476E-3</v>
      </c>
      <c r="O48" s="81">
        <f t="shared" si="19"/>
        <v>-2.5190289294460327E-3</v>
      </c>
      <c r="P48" s="108">
        <f t="shared" si="20"/>
        <v>0.48943396633917924</v>
      </c>
      <c r="Q48" s="106">
        <v>1</v>
      </c>
      <c r="R48" s="106">
        <v>1</v>
      </c>
      <c r="S48" s="106">
        <v>0</v>
      </c>
      <c r="T48" s="107">
        <v>0</v>
      </c>
      <c r="V48" s="94">
        <f>-0.00514*W$16</f>
        <v>-5.1368243784574788E-3</v>
      </c>
      <c r="W48" s="76">
        <f t="shared" si="21"/>
        <v>-3.7547584876160842E-3</v>
      </c>
      <c r="X48" s="94">
        <f>-0.00515*W$16</f>
        <v>-5.1468182002054512E-3</v>
      </c>
      <c r="Y48" s="81">
        <f t="shared" si="22"/>
        <v>-3.7620634652184505E-3</v>
      </c>
      <c r="Z48" s="108">
        <f t="shared" si="23"/>
        <v>0.730949359172678</v>
      </c>
      <c r="AA48" s="106">
        <v>1</v>
      </c>
      <c r="AB48" s="106">
        <v>1</v>
      </c>
      <c r="AC48" s="106">
        <v>0</v>
      </c>
      <c r="AD48" s="107">
        <v>0</v>
      </c>
      <c r="AF48" s="94">
        <f>-0.00514*AG$16</f>
        <v>-5.1368217607361813E-3</v>
      </c>
      <c r="AG48" s="76">
        <f t="shared" si="24"/>
        <v>4.2965671695854571E-3</v>
      </c>
      <c r="AH48" s="94">
        <f>-0.00515*AG$16</f>
        <v>-5.1468155773913109E-3</v>
      </c>
      <c r="AI48" s="81">
        <f t="shared" si="25"/>
        <v>4.3049262496819276E-3</v>
      </c>
      <c r="AJ48" s="108">
        <f t="shared" si="26"/>
        <v>-0.836425200194156</v>
      </c>
      <c r="AK48" s="106">
        <v>1</v>
      </c>
      <c r="AL48" s="106">
        <v>1</v>
      </c>
      <c r="AM48" s="106">
        <v>0</v>
      </c>
      <c r="AN48" s="107">
        <v>0</v>
      </c>
      <c r="AP48" s="94">
        <f>-0.00514*AQ$16</f>
        <v>-5.1368191430117777E-3</v>
      </c>
      <c r="AQ48" s="76">
        <f t="shared" si="27"/>
        <v>1.7151189935804877E-3</v>
      </c>
      <c r="AR48" s="94">
        <f>-0.00515*AQ$16</f>
        <v>-5.1468129545740576E-3</v>
      </c>
      <c r="AS48" s="81">
        <f t="shared" si="28"/>
        <v>1.7184558009609944E-3</v>
      </c>
      <c r="AT48" s="108">
        <f t="shared" si="29"/>
        <v>-0.33388736216531328</v>
      </c>
      <c r="AU48" s="106">
        <v>1</v>
      </c>
      <c r="AV48" s="106">
        <v>1</v>
      </c>
      <c r="AW48" s="106">
        <v>0</v>
      </c>
      <c r="AX48" s="107">
        <v>0</v>
      </c>
    </row>
    <row r="49" spans="2:50" x14ac:dyDescent="0.2">
      <c r="B49" s="94">
        <f>0.00208*POWER(C$16,2)</f>
        <v>2.0774348757309547E-3</v>
      </c>
      <c r="C49" s="76">
        <f t="shared" si="15"/>
        <v>1.0702095467009863E-4</v>
      </c>
      <c r="D49" s="94">
        <f>0.00209*POWER(C$16,2)</f>
        <v>2.0874225434027384E-3</v>
      </c>
      <c r="E49" s="81">
        <f t="shared" si="16"/>
        <v>1.0753547849062797E-4</v>
      </c>
      <c r="F49" s="108">
        <f t="shared" si="17"/>
        <v>5.1515913167888276E-2</v>
      </c>
      <c r="G49" s="106">
        <v>2</v>
      </c>
      <c r="H49" s="106">
        <v>0</v>
      </c>
      <c r="I49" s="106">
        <v>0</v>
      </c>
      <c r="J49" s="107">
        <v>0</v>
      </c>
      <c r="L49" s="94">
        <f>0.00208*POWER(M$16,2)</f>
        <v>2.077432758420619E-3</v>
      </c>
      <c r="M49" s="76">
        <f t="shared" si="18"/>
        <v>6.2489075559616042E-4</v>
      </c>
      <c r="N49" s="94">
        <f>0.00209*POWER(M$16,2)</f>
        <v>2.0874204159130262E-3</v>
      </c>
      <c r="O49" s="81">
        <f t="shared" si="19"/>
        <v>6.2789503807498832E-4</v>
      </c>
      <c r="P49" s="108">
        <f t="shared" si="20"/>
        <v>0.30079950990627369</v>
      </c>
      <c r="Q49" s="106">
        <v>2</v>
      </c>
      <c r="R49" s="106">
        <v>0</v>
      </c>
      <c r="S49" s="106">
        <v>0</v>
      </c>
      <c r="T49" s="107">
        <v>0</v>
      </c>
      <c r="V49" s="94">
        <f>0.00208*POWER(W$16,2)</f>
        <v>2.0774306411088486E-3</v>
      </c>
      <c r="W49" s="76">
        <f t="shared" si="21"/>
        <v>1.1026628380528907E-3</v>
      </c>
      <c r="X49" s="94">
        <f>0.00209*POWER(W$16,2)</f>
        <v>2.0874182884218721E-3</v>
      </c>
      <c r="Y49" s="81">
        <f t="shared" si="22"/>
        <v>1.1079641016973757E-3</v>
      </c>
      <c r="Z49" s="108">
        <f t="shared" si="23"/>
        <v>0.53078202286663767</v>
      </c>
      <c r="AA49" s="106">
        <v>2</v>
      </c>
      <c r="AB49" s="106">
        <v>0</v>
      </c>
      <c r="AC49" s="106">
        <v>0</v>
      </c>
      <c r="AD49" s="107">
        <v>0</v>
      </c>
      <c r="AF49" s="94">
        <f>0.00208*POWER(AG$16,2)</f>
        <v>2.0774285237956424E-3</v>
      </c>
      <c r="AG49" s="76">
        <f t="shared" si="24"/>
        <v>1.5096806194893489E-3</v>
      </c>
      <c r="AH49" s="94">
        <f>0.00209*POWER(AG$16,2)</f>
        <v>2.0874161609292755E-3</v>
      </c>
      <c r="AI49" s="81">
        <f t="shared" si="25"/>
        <v>1.5169386993907402E-3</v>
      </c>
      <c r="AJ49" s="108">
        <f t="shared" si="26"/>
        <v>0.72670640755958782</v>
      </c>
      <c r="AK49" s="106">
        <v>2</v>
      </c>
      <c r="AL49" s="106">
        <v>0</v>
      </c>
      <c r="AM49" s="106">
        <v>0</v>
      </c>
      <c r="AN49" s="107">
        <v>0</v>
      </c>
      <c r="AP49" s="94">
        <f>0.00208*POWER(AQ$16,2)</f>
        <v>2.0774264064810023E-3</v>
      </c>
      <c r="AQ49" s="76">
        <f t="shared" si="27"/>
        <v>1.8198275915635611E-3</v>
      </c>
      <c r="AR49" s="94">
        <f>0.00209*POWER(AQ$16,2)</f>
        <v>2.0874140334352382E-3</v>
      </c>
      <c r="AS49" s="81">
        <f t="shared" si="28"/>
        <v>1.8285767626768478E-3</v>
      </c>
      <c r="AT49" s="108">
        <f t="shared" si="29"/>
        <v>0.87600099136421716</v>
      </c>
      <c r="AU49" s="106">
        <v>2</v>
      </c>
      <c r="AV49" s="106">
        <v>0</v>
      </c>
      <c r="AW49" s="106">
        <v>0</v>
      </c>
      <c r="AX49" s="107">
        <v>0</v>
      </c>
    </row>
    <row r="50" spans="2:50" x14ac:dyDescent="0.2">
      <c r="B50" s="94">
        <v>-1.1100000000000001E-3</v>
      </c>
      <c r="C50" s="76">
        <f t="shared" si="15"/>
        <v>1.1031893657288086E-3</v>
      </c>
      <c r="D50" s="94">
        <v>-1.1100000000000001E-3</v>
      </c>
      <c r="E50" s="81">
        <f t="shared" si="16"/>
        <v>1.1031893657288086E-3</v>
      </c>
      <c r="F50" s="108">
        <f t="shared" si="17"/>
        <v>-0.9938642934493771</v>
      </c>
      <c r="G50" s="106">
        <v>0</v>
      </c>
      <c r="H50" s="106">
        <v>1</v>
      </c>
      <c r="I50" s="106">
        <v>-2</v>
      </c>
      <c r="J50" s="107">
        <v>0</v>
      </c>
      <c r="L50" s="94">
        <v>-1.1100000000000001E-3</v>
      </c>
      <c r="M50" s="76">
        <f t="shared" si="18"/>
        <v>-4.9012585306446178E-5</v>
      </c>
      <c r="N50" s="94">
        <v>-1.1100000000000001E-3</v>
      </c>
      <c r="O50" s="81">
        <f t="shared" si="19"/>
        <v>-4.9012585306446178E-5</v>
      </c>
      <c r="P50" s="108">
        <f t="shared" si="20"/>
        <v>4.4155482258059618E-2</v>
      </c>
      <c r="Q50" s="106">
        <v>0</v>
      </c>
      <c r="R50" s="106">
        <v>1</v>
      </c>
      <c r="S50" s="106">
        <v>-2</v>
      </c>
      <c r="T50" s="107">
        <v>0</v>
      </c>
      <c r="V50" s="94">
        <v>-1.1100000000000001E-3</v>
      </c>
      <c r="W50" s="76">
        <f t="shared" si="21"/>
        <v>-1.0880559422321286E-3</v>
      </c>
      <c r="X50" s="94">
        <v>-1.1100000000000001E-3</v>
      </c>
      <c r="Y50" s="81">
        <f t="shared" si="22"/>
        <v>-1.0880559422321286E-3</v>
      </c>
      <c r="Z50" s="108">
        <f t="shared" si="23"/>
        <v>0.98023057858750318</v>
      </c>
      <c r="AA50" s="106">
        <v>0</v>
      </c>
      <c r="AB50" s="106">
        <v>1</v>
      </c>
      <c r="AC50" s="106">
        <v>-2</v>
      </c>
      <c r="AD50" s="107">
        <v>0</v>
      </c>
      <c r="AF50" s="94">
        <v>-1.1100000000000001E-3</v>
      </c>
      <c r="AG50" s="76">
        <f t="shared" si="24"/>
        <v>3.8496734591472113E-4</v>
      </c>
      <c r="AH50" s="94">
        <v>-1.1100000000000001E-3</v>
      </c>
      <c r="AI50" s="81">
        <f t="shared" si="25"/>
        <v>3.8496734591472113E-4</v>
      </c>
      <c r="AJ50" s="108">
        <f t="shared" si="26"/>
        <v>-0.346817428752001</v>
      </c>
      <c r="AK50" s="106">
        <v>0</v>
      </c>
      <c r="AL50" s="106">
        <v>1</v>
      </c>
      <c r="AM50" s="106">
        <v>-2</v>
      </c>
      <c r="AN50" s="107">
        <v>0</v>
      </c>
      <c r="AP50" s="94">
        <v>-1.1100000000000001E-3</v>
      </c>
      <c r="AQ50" s="76">
        <f t="shared" si="27"/>
        <v>9.6919108657670631E-4</v>
      </c>
      <c r="AR50" s="94">
        <v>-1.1100000000000001E-3</v>
      </c>
      <c r="AS50" s="81">
        <f t="shared" si="28"/>
        <v>9.6919108657670631E-4</v>
      </c>
      <c r="AT50" s="108">
        <f t="shared" si="29"/>
        <v>-0.8731451230420777</v>
      </c>
      <c r="AU50" s="106">
        <v>0</v>
      </c>
      <c r="AV50" s="106">
        <v>1</v>
      </c>
      <c r="AW50" s="106">
        <v>-2</v>
      </c>
      <c r="AX50" s="107">
        <v>0</v>
      </c>
    </row>
    <row r="51" spans="2:50" x14ac:dyDescent="0.2">
      <c r="B51" s="94">
        <v>-5.6999999999999998E-4</v>
      </c>
      <c r="C51" s="76">
        <f t="shared" si="15"/>
        <v>5.2908013289453589E-4</v>
      </c>
      <c r="D51" s="94">
        <v>-5.6999999999999998E-4</v>
      </c>
      <c r="E51" s="81">
        <f t="shared" si="16"/>
        <v>5.2908013289453589E-4</v>
      </c>
      <c r="F51" s="108">
        <f t="shared" si="17"/>
        <v>-0.92821075946409803</v>
      </c>
      <c r="G51" s="106">
        <v>0</v>
      </c>
      <c r="H51" s="106">
        <v>1</v>
      </c>
      <c r="I51" s="106">
        <v>2</v>
      </c>
      <c r="J51" s="107">
        <v>0</v>
      </c>
      <c r="L51" s="94">
        <v>-5.6999999999999998E-4</v>
      </c>
      <c r="M51" s="76">
        <f t="shared" si="18"/>
        <v>3.9331278900729721E-4</v>
      </c>
      <c r="N51" s="94">
        <v>-5.6999999999999998E-4</v>
      </c>
      <c r="O51" s="81">
        <f t="shared" si="19"/>
        <v>3.9331278900729721E-4</v>
      </c>
      <c r="P51" s="108">
        <f t="shared" si="20"/>
        <v>-0.69002243685490738</v>
      </c>
      <c r="Q51" s="106">
        <v>0</v>
      </c>
      <c r="R51" s="106">
        <v>1</v>
      </c>
      <c r="S51" s="106">
        <v>2</v>
      </c>
      <c r="T51" s="107">
        <v>0</v>
      </c>
      <c r="V51" s="94">
        <v>-5.6999999999999998E-4</v>
      </c>
      <c r="W51" s="76">
        <f t="shared" si="21"/>
        <v>-2.3708672627641194E-4</v>
      </c>
      <c r="X51" s="94">
        <v>-5.6999999999999998E-4</v>
      </c>
      <c r="Y51" s="81">
        <f t="shared" si="22"/>
        <v>-2.3708672627641194E-4</v>
      </c>
      <c r="Z51" s="108">
        <f t="shared" si="23"/>
        <v>0.41594162504633675</v>
      </c>
      <c r="AA51" s="106">
        <v>0</v>
      </c>
      <c r="AB51" s="106">
        <v>1</v>
      </c>
      <c r="AC51" s="106">
        <v>2</v>
      </c>
      <c r="AD51" s="107">
        <v>0</v>
      </c>
      <c r="AF51" s="94">
        <v>-5.6999999999999998E-4</v>
      </c>
      <c r="AG51" s="76">
        <f t="shared" si="24"/>
        <v>-5.6932476422119388E-4</v>
      </c>
      <c r="AH51" s="94">
        <v>-5.6999999999999998E-4</v>
      </c>
      <c r="AI51" s="81">
        <f t="shared" si="25"/>
        <v>-5.6932476422119388E-4</v>
      </c>
      <c r="AJ51" s="108">
        <f t="shared" si="26"/>
        <v>0.99881537582665592</v>
      </c>
      <c r="AK51" s="106">
        <v>0</v>
      </c>
      <c r="AL51" s="106">
        <v>1</v>
      </c>
      <c r="AM51" s="106">
        <v>2</v>
      </c>
      <c r="AN51" s="107">
        <v>0</v>
      </c>
      <c r="AP51" s="94">
        <v>-5.6999999999999998E-4</v>
      </c>
      <c r="AQ51" s="76">
        <f t="shared" si="27"/>
        <v>-1.8557707218389583E-4</v>
      </c>
      <c r="AR51" s="94">
        <v>-5.6999999999999998E-4</v>
      </c>
      <c r="AS51" s="81">
        <f t="shared" si="28"/>
        <v>-1.8557707218389583E-4</v>
      </c>
      <c r="AT51" s="108">
        <f t="shared" si="29"/>
        <v>0.32557381084894005</v>
      </c>
      <c r="AU51" s="106">
        <v>0</v>
      </c>
      <c r="AV51" s="106">
        <v>1</v>
      </c>
      <c r="AW51" s="106">
        <v>2</v>
      </c>
      <c r="AX51" s="107">
        <v>0</v>
      </c>
    </row>
    <row r="52" spans="2:50" x14ac:dyDescent="0.2">
      <c r="B52" s="94">
        <f>0.00056*C$16</f>
        <v>5.5965458828381688E-4</v>
      </c>
      <c r="C52" s="76">
        <f t="shared" si="15"/>
        <v>2.770238866014607E-4</v>
      </c>
      <c r="D52" s="94">
        <f>0.00056*C$16</f>
        <v>5.5965458828381688E-4</v>
      </c>
      <c r="E52" s="81">
        <f t="shared" si="16"/>
        <v>2.770238866014607E-4</v>
      </c>
      <c r="F52" s="108">
        <f t="shared" si="17"/>
        <v>0.49499082541421774</v>
      </c>
      <c r="G52" s="106">
        <v>1</v>
      </c>
      <c r="H52" s="106">
        <v>2</v>
      </c>
      <c r="I52" s="106">
        <v>0</v>
      </c>
      <c r="J52" s="107">
        <v>0</v>
      </c>
      <c r="L52" s="94">
        <f>0.00056*M$16</f>
        <v>5.5965430308528672E-4</v>
      </c>
      <c r="M52" s="76">
        <f t="shared" si="18"/>
        <v>-4.2780171062520831E-4</v>
      </c>
      <c r="N52" s="94">
        <f>0.00056*M$16</f>
        <v>5.5965430308528672E-4</v>
      </c>
      <c r="O52" s="81">
        <f t="shared" si="19"/>
        <v>-4.2780171062520831E-4</v>
      </c>
      <c r="P52" s="108">
        <f t="shared" si="20"/>
        <v>-0.76440350456845296</v>
      </c>
      <c r="Q52" s="106">
        <v>1</v>
      </c>
      <c r="R52" s="106">
        <v>2</v>
      </c>
      <c r="S52" s="106">
        <v>0</v>
      </c>
      <c r="T52" s="107">
        <v>0</v>
      </c>
      <c r="V52" s="94">
        <f>0.00056*W$16</f>
        <v>5.5965401788641797E-4</v>
      </c>
      <c r="W52" s="76">
        <f t="shared" si="21"/>
        <v>5.2603213012579085E-4</v>
      </c>
      <c r="X52" s="94">
        <f>0.00056*W$16</f>
        <v>5.5965401788641797E-4</v>
      </c>
      <c r="Y52" s="81">
        <f t="shared" si="22"/>
        <v>5.2603213012579085E-4</v>
      </c>
      <c r="Z52" s="108">
        <f t="shared" si="23"/>
        <v>0.93992379812155535</v>
      </c>
      <c r="AA52" s="106">
        <v>1</v>
      </c>
      <c r="AB52" s="106">
        <v>2</v>
      </c>
      <c r="AC52" s="106">
        <v>0</v>
      </c>
      <c r="AD52" s="107">
        <v>0</v>
      </c>
      <c r="AF52" s="94">
        <f>0.00056*AG$16</f>
        <v>5.596537326872104E-4</v>
      </c>
      <c r="AG52" s="76">
        <f t="shared" si="24"/>
        <v>-5.5964947200517654E-4</v>
      </c>
      <c r="AH52" s="94">
        <f>0.00056*AG$16</f>
        <v>5.596537326872104E-4</v>
      </c>
      <c r="AI52" s="81">
        <f t="shared" si="25"/>
        <v>-5.5964947200517654E-4</v>
      </c>
      <c r="AJ52" s="108">
        <f t="shared" si="26"/>
        <v>-0.99999238693180259</v>
      </c>
      <c r="AK52" s="106">
        <v>1</v>
      </c>
      <c r="AL52" s="106">
        <v>2</v>
      </c>
      <c r="AM52" s="106">
        <v>0</v>
      </c>
      <c r="AN52" s="107">
        <v>0</v>
      </c>
      <c r="AP52" s="94">
        <f>0.00056*AQ$16</f>
        <v>5.5965344748766445E-4</v>
      </c>
      <c r="AQ52" s="76">
        <f t="shared" si="27"/>
        <v>5.2452455517636696E-4</v>
      </c>
      <c r="AR52" s="94">
        <f>0.00056*AQ$16</f>
        <v>5.5965344748766445E-4</v>
      </c>
      <c r="AS52" s="81">
        <f t="shared" si="28"/>
        <v>5.2452455517636696E-4</v>
      </c>
      <c r="AT52" s="108">
        <f t="shared" si="29"/>
        <v>0.93723099094806916</v>
      </c>
      <c r="AU52" s="106">
        <v>1</v>
      </c>
      <c r="AV52" s="106">
        <v>2</v>
      </c>
      <c r="AW52" s="106">
        <v>0</v>
      </c>
      <c r="AX52" s="107">
        <v>0</v>
      </c>
    </row>
    <row r="53" spans="2:50" x14ac:dyDescent="0.2">
      <c r="B53" s="94">
        <v>-4.2000000000000002E-4</v>
      </c>
      <c r="C53" s="76">
        <f t="shared" si="15"/>
        <v>3.1069930032132201E-4</v>
      </c>
      <c r="D53" s="94">
        <v>-4.2000000000000002E-4</v>
      </c>
      <c r="E53" s="81">
        <f t="shared" si="16"/>
        <v>3.1069930032132201E-4</v>
      </c>
      <c r="F53" s="108">
        <f t="shared" si="17"/>
        <v>-0.73976023886029052</v>
      </c>
      <c r="G53" s="106">
        <v>0</v>
      </c>
      <c r="H53" s="106">
        <v>3</v>
      </c>
      <c r="I53" s="106">
        <v>0</v>
      </c>
      <c r="J53" s="107">
        <v>0</v>
      </c>
      <c r="L53" s="94">
        <v>-4.2000000000000002E-4</v>
      </c>
      <c r="M53" s="76">
        <f t="shared" si="18"/>
        <v>3.6963253411290939E-4</v>
      </c>
      <c r="N53" s="94">
        <v>-4.2000000000000002E-4</v>
      </c>
      <c r="O53" s="81">
        <f t="shared" si="19"/>
        <v>3.6963253411290939E-4</v>
      </c>
      <c r="P53" s="108">
        <f t="shared" si="20"/>
        <v>-0.88007746217359373</v>
      </c>
      <c r="Q53" s="106">
        <v>0</v>
      </c>
      <c r="R53" s="106">
        <v>3</v>
      </c>
      <c r="S53" s="106">
        <v>0</v>
      </c>
      <c r="T53" s="107">
        <v>0</v>
      </c>
      <c r="V53" s="94">
        <v>-4.2000000000000002E-4</v>
      </c>
      <c r="W53" s="76">
        <f t="shared" si="21"/>
        <v>-6.5598116074603167E-5</v>
      </c>
      <c r="X53" s="94">
        <v>-4.2000000000000002E-4</v>
      </c>
      <c r="Y53" s="81">
        <f t="shared" si="22"/>
        <v>-6.5598116074603167E-5</v>
      </c>
      <c r="Z53" s="108">
        <f t="shared" si="23"/>
        <v>0.15618599065381705</v>
      </c>
      <c r="AA53" s="106">
        <v>0</v>
      </c>
      <c r="AB53" s="106">
        <v>3</v>
      </c>
      <c r="AC53" s="106">
        <v>0</v>
      </c>
      <c r="AD53" s="107">
        <v>0</v>
      </c>
      <c r="AF53" s="94">
        <v>-4.2000000000000002E-4</v>
      </c>
      <c r="AG53" s="76">
        <f t="shared" si="24"/>
        <v>-4.1313026347916898E-4</v>
      </c>
      <c r="AH53" s="94">
        <v>-4.2000000000000002E-4</v>
      </c>
      <c r="AI53" s="81">
        <f t="shared" si="25"/>
        <v>-4.1313026347916898E-4</v>
      </c>
      <c r="AJ53" s="108">
        <f t="shared" si="26"/>
        <v>0.98364348447421179</v>
      </c>
      <c r="AK53" s="106">
        <v>0</v>
      </c>
      <c r="AL53" s="106">
        <v>3</v>
      </c>
      <c r="AM53" s="106">
        <v>0</v>
      </c>
      <c r="AN53" s="107">
        <v>0</v>
      </c>
      <c r="AP53" s="94">
        <v>-4.2000000000000002E-4</v>
      </c>
      <c r="AQ53" s="76">
        <f t="shared" si="27"/>
        <v>-2.083461596764185E-4</v>
      </c>
      <c r="AR53" s="94">
        <v>-4.2000000000000002E-4</v>
      </c>
      <c r="AS53" s="81">
        <f t="shared" si="28"/>
        <v>-2.083461596764185E-4</v>
      </c>
      <c r="AT53" s="108">
        <f t="shared" si="29"/>
        <v>0.49606228494385357</v>
      </c>
      <c r="AU53" s="106">
        <v>0</v>
      </c>
      <c r="AV53" s="106">
        <v>3</v>
      </c>
      <c r="AW53" s="106">
        <v>0</v>
      </c>
      <c r="AX53" s="107">
        <v>0</v>
      </c>
    </row>
    <row r="54" spans="2:50" x14ac:dyDescent="0.2">
      <c r="B54" s="94">
        <f>0.00042*C$16</f>
        <v>4.1974094121286268E-4</v>
      </c>
      <c r="C54" s="76">
        <f t="shared" si="15"/>
        <v>6.7271675773768595E-5</v>
      </c>
      <c r="D54" s="94">
        <f>0.00042*C$16</f>
        <v>4.1974094121286268E-4</v>
      </c>
      <c r="E54" s="81">
        <f t="shared" si="16"/>
        <v>6.7271675773768595E-5</v>
      </c>
      <c r="F54" s="108">
        <f t="shared" si="17"/>
        <v>0.16026951190270763</v>
      </c>
      <c r="G54" s="106">
        <v>1</v>
      </c>
      <c r="H54" s="106">
        <v>0</v>
      </c>
      <c r="I54" s="106">
        <v>2</v>
      </c>
      <c r="J54" s="107">
        <v>0</v>
      </c>
      <c r="L54" s="94">
        <f>0.00042*M$16</f>
        <v>4.1974072731396507E-4</v>
      </c>
      <c r="M54" s="76">
        <f t="shared" si="18"/>
        <v>-2.2139727089768647E-4</v>
      </c>
      <c r="N54" s="94">
        <f>0.00042*M$16</f>
        <v>4.1974072731396507E-4</v>
      </c>
      <c r="O54" s="81">
        <f t="shared" si="19"/>
        <v>-2.2139727089768647E-4</v>
      </c>
      <c r="P54" s="108">
        <f t="shared" si="20"/>
        <v>-0.5274619699509927</v>
      </c>
      <c r="Q54" s="106">
        <v>1</v>
      </c>
      <c r="R54" s="106">
        <v>0</v>
      </c>
      <c r="S54" s="106">
        <v>2</v>
      </c>
      <c r="T54" s="107">
        <v>0</v>
      </c>
      <c r="V54" s="94">
        <f>0.00042*W$16</f>
        <v>4.1974051341481347E-4</v>
      </c>
      <c r="W54" s="76">
        <f t="shared" si="21"/>
        <v>3.4148619917615794E-4</v>
      </c>
      <c r="X54" s="94">
        <f>0.00042*W$16</f>
        <v>4.1974051341481347E-4</v>
      </c>
      <c r="Y54" s="81">
        <f t="shared" si="22"/>
        <v>3.4148619917615794E-4</v>
      </c>
      <c r="Z54" s="108">
        <f t="shared" si="23"/>
        <v>0.81356501996432307</v>
      </c>
      <c r="AA54" s="106">
        <v>1</v>
      </c>
      <c r="AB54" s="106">
        <v>0</v>
      </c>
      <c r="AC54" s="106">
        <v>2</v>
      </c>
      <c r="AD54" s="107">
        <v>0</v>
      </c>
      <c r="AF54" s="94">
        <f>0.00042*AG$16</f>
        <v>4.1974029951540791E-4</v>
      </c>
      <c r="AG54" s="76">
        <f t="shared" si="24"/>
        <v>-4.0907662373879111E-4</v>
      </c>
      <c r="AH54" s="94">
        <f>0.00042*AG$16</f>
        <v>4.1974029951540791E-4</v>
      </c>
      <c r="AI54" s="81">
        <f t="shared" si="25"/>
        <v>-4.0907662373879111E-4</v>
      </c>
      <c r="AJ54" s="108">
        <f t="shared" si="26"/>
        <v>-0.97459458672677357</v>
      </c>
      <c r="AK54" s="106">
        <v>1</v>
      </c>
      <c r="AL54" s="106">
        <v>0</v>
      </c>
      <c r="AM54" s="106">
        <v>2</v>
      </c>
      <c r="AN54" s="107">
        <v>0</v>
      </c>
      <c r="AP54" s="94">
        <f>0.00042*AQ$16</f>
        <v>4.1974008561574842E-4</v>
      </c>
      <c r="AQ54" s="76">
        <f t="shared" si="27"/>
        <v>4.137775840769958E-4</v>
      </c>
      <c r="AR54" s="94">
        <f>0.00042*AQ$16</f>
        <v>4.1974008561574842E-4</v>
      </c>
      <c r="AS54" s="81">
        <f t="shared" si="28"/>
        <v>4.137775840769958E-4</v>
      </c>
      <c r="AT54" s="108">
        <f t="shared" si="29"/>
        <v>0.98579477695106066</v>
      </c>
      <c r="AU54" s="106">
        <v>1</v>
      </c>
      <c r="AV54" s="106">
        <v>0</v>
      </c>
      <c r="AW54" s="106">
        <v>2</v>
      </c>
      <c r="AX54" s="107">
        <v>0</v>
      </c>
    </row>
    <row r="55" spans="2:50" x14ac:dyDescent="0.2">
      <c r="B55" s="94">
        <f>0.00038*C$16</f>
        <v>3.7976561347830435E-4</v>
      </c>
      <c r="C55" s="76">
        <f t="shared" si="15"/>
        <v>-4.1472956959045621E-5</v>
      </c>
      <c r="D55" s="94">
        <f>0.00038*C$16</f>
        <v>3.7976561347830435E-4</v>
      </c>
      <c r="E55" s="81">
        <f t="shared" si="16"/>
        <v>-4.1472956959045621E-5</v>
      </c>
      <c r="F55" s="108">
        <f t="shared" si="17"/>
        <v>-0.10920671984804367</v>
      </c>
      <c r="G55" s="106">
        <v>1</v>
      </c>
      <c r="H55" s="106">
        <v>0</v>
      </c>
      <c r="I55" s="106">
        <v>-2</v>
      </c>
      <c r="J55" s="107">
        <v>0</v>
      </c>
      <c r="L55" s="94">
        <f>0.00038*M$16</f>
        <v>3.7976541995073028E-4</v>
      </c>
      <c r="M55" s="76">
        <f t="shared" si="18"/>
        <v>9.3984723910086349E-5</v>
      </c>
      <c r="N55" s="94">
        <f>0.00038*M$16</f>
        <v>3.7976541995073028E-4</v>
      </c>
      <c r="O55" s="81">
        <f t="shared" si="19"/>
        <v>9.3984723910086349E-5</v>
      </c>
      <c r="P55" s="108">
        <f t="shared" si="20"/>
        <v>0.24748099477377289</v>
      </c>
      <c r="Q55" s="106">
        <v>1</v>
      </c>
      <c r="R55" s="106">
        <v>0</v>
      </c>
      <c r="S55" s="106">
        <v>-2</v>
      </c>
      <c r="T55" s="107">
        <v>0</v>
      </c>
      <c r="V55" s="94">
        <f>0.00038*W$16</f>
        <v>3.7976522642292648E-4</v>
      </c>
      <c r="W55" s="76">
        <f t="shared" si="21"/>
        <v>-1.4464013597796906E-4</v>
      </c>
      <c r="X55" s="94">
        <f>0.00038*W$16</f>
        <v>3.7976522642292648E-4</v>
      </c>
      <c r="Y55" s="81">
        <f t="shared" si="22"/>
        <v>-1.4464013597796906E-4</v>
      </c>
      <c r="Z55" s="108">
        <f t="shared" si="23"/>
        <v>-0.38086724616774215</v>
      </c>
      <c r="AA55" s="106">
        <v>1</v>
      </c>
      <c r="AB55" s="106">
        <v>0</v>
      </c>
      <c r="AC55" s="106">
        <v>-2</v>
      </c>
      <c r="AD55" s="107">
        <v>0</v>
      </c>
      <c r="AF55" s="94">
        <f>0.00038*AG$16</f>
        <v>3.7976503289489287E-4</v>
      </c>
      <c r="AG55" s="76">
        <f t="shared" si="24"/>
        <v>1.9243869511683786E-4</v>
      </c>
      <c r="AH55" s="94">
        <f>0.00038*AG$16</f>
        <v>3.7976503289489287E-4</v>
      </c>
      <c r="AI55" s="81">
        <f t="shared" si="25"/>
        <v>1.9243869511683786E-4</v>
      </c>
      <c r="AJ55" s="108">
        <f t="shared" si="26"/>
        <v>0.50673094794933082</v>
      </c>
      <c r="AK55" s="106">
        <v>1</v>
      </c>
      <c r="AL55" s="106">
        <v>0</v>
      </c>
      <c r="AM55" s="106">
        <v>-2</v>
      </c>
      <c r="AN55" s="107">
        <v>0</v>
      </c>
      <c r="AP55" s="94">
        <f>0.00038*AQ$16</f>
        <v>3.7976483936662952E-4</v>
      </c>
      <c r="AQ55" s="76">
        <f t="shared" si="27"/>
        <v>-2.3643633027946407E-4</v>
      </c>
      <c r="AR55" s="94">
        <f>0.00038*AQ$16</f>
        <v>3.7976483936662952E-4</v>
      </c>
      <c r="AS55" s="81">
        <f t="shared" si="28"/>
        <v>-2.3643633027946407E-4</v>
      </c>
      <c r="AT55" s="108">
        <f t="shared" si="29"/>
        <v>-0.62258615271964557</v>
      </c>
      <c r="AU55" s="106">
        <v>1</v>
      </c>
      <c r="AV55" s="106">
        <v>0</v>
      </c>
      <c r="AW55" s="106">
        <v>-2</v>
      </c>
      <c r="AX55" s="107">
        <v>0</v>
      </c>
    </row>
    <row r="56" spans="2:50" x14ac:dyDescent="0.2">
      <c r="B56" s="94">
        <f>-0.00024*C$16</f>
        <v>-2.398519664073501E-4</v>
      </c>
      <c r="C56" s="76">
        <f t="shared" si="15"/>
        <v>-1.078306033683068E-4</v>
      </c>
      <c r="D56" s="94">
        <f>-0.00024*C$16</f>
        <v>-2.398519664073501E-4</v>
      </c>
      <c r="E56" s="81">
        <f t="shared" si="16"/>
        <v>-1.078306033683068E-4</v>
      </c>
      <c r="F56" s="108">
        <f t="shared" si="17"/>
        <v>0.44957147937313058</v>
      </c>
      <c r="G56" s="106">
        <v>-1</v>
      </c>
      <c r="H56" s="106">
        <v>2</v>
      </c>
      <c r="I56" s="106">
        <v>0</v>
      </c>
      <c r="J56" s="107">
        <v>0</v>
      </c>
      <c r="L56" s="94">
        <f>-0.00024*M$16</f>
        <v>-2.3985184417940861E-4</v>
      </c>
      <c r="M56" s="76">
        <f t="shared" si="18"/>
        <v>1.2833634389614217E-4</v>
      </c>
      <c r="N56" s="94">
        <f>-0.00024*M$16</f>
        <v>-2.3985184417940861E-4</v>
      </c>
      <c r="O56" s="81">
        <f t="shared" si="19"/>
        <v>1.2833634389614217E-4</v>
      </c>
      <c r="P56" s="108">
        <f t="shared" si="20"/>
        <v>-0.53506507041966656</v>
      </c>
      <c r="Q56" s="106">
        <v>-1</v>
      </c>
      <c r="R56" s="106">
        <v>2</v>
      </c>
      <c r="S56" s="106">
        <v>0</v>
      </c>
      <c r="T56" s="107">
        <v>0</v>
      </c>
      <c r="V56" s="94">
        <f>-0.00024*W$16</f>
        <v>-2.3985172195132199E-4</v>
      </c>
      <c r="W56" s="76">
        <f t="shared" si="21"/>
        <v>-1.4760298202143391E-4</v>
      </c>
      <c r="X56" s="94">
        <f>-0.00024*W$16</f>
        <v>-2.3985172195132199E-4</v>
      </c>
      <c r="Y56" s="81">
        <f t="shared" si="22"/>
        <v>-1.4760298202143391E-4</v>
      </c>
      <c r="Z56" s="108">
        <f t="shared" si="23"/>
        <v>0.61539263016585721</v>
      </c>
      <c r="AA56" s="106">
        <v>-1</v>
      </c>
      <c r="AB56" s="106">
        <v>2</v>
      </c>
      <c r="AC56" s="106">
        <v>0</v>
      </c>
      <c r="AD56" s="107">
        <v>0</v>
      </c>
      <c r="AF56" s="94">
        <f>-0.00024*AG$16</f>
        <v>-2.3985159972309022E-4</v>
      </c>
      <c r="AG56" s="76">
        <f t="shared" si="24"/>
        <v>1.6544450049902395E-4</v>
      </c>
      <c r="AH56" s="94">
        <f>-0.00024*AG$16</f>
        <v>-2.3985159972309022E-4</v>
      </c>
      <c r="AI56" s="81">
        <f t="shared" si="25"/>
        <v>1.6544450049902395E-4</v>
      </c>
      <c r="AJ56" s="108">
        <f t="shared" si="26"/>
        <v>-0.68977859930903274</v>
      </c>
      <c r="AK56" s="106">
        <v>-1</v>
      </c>
      <c r="AL56" s="106">
        <v>2</v>
      </c>
      <c r="AM56" s="106">
        <v>0</v>
      </c>
      <c r="AN56" s="107">
        <v>0</v>
      </c>
      <c r="AP56" s="94">
        <f>-0.00024*AQ$16</f>
        <v>-2.3985147749471338E-4</v>
      </c>
      <c r="AQ56" s="76">
        <f t="shared" si="27"/>
        <v>-1.8168864173786139E-4</v>
      </c>
      <c r="AR56" s="94">
        <f>-0.00024*AQ$16</f>
        <v>-2.3985147749471338E-4</v>
      </c>
      <c r="AS56" s="81">
        <f t="shared" si="28"/>
        <v>-1.8168864173786139E-4</v>
      </c>
      <c r="AT56" s="108">
        <f t="shared" si="29"/>
        <v>0.7575047843591709</v>
      </c>
      <c r="AU56" s="106">
        <v>-1</v>
      </c>
      <c r="AV56" s="106">
        <v>2</v>
      </c>
      <c r="AW56" s="106">
        <v>0</v>
      </c>
      <c r="AX56" s="107">
        <v>0</v>
      </c>
    </row>
    <row r="57" spans="2:50" x14ac:dyDescent="0.2">
      <c r="B57" s="94">
        <v>-1.7000000000000001E-4</v>
      </c>
      <c r="C57" s="76">
        <f t="shared" si="15"/>
        <v>-3.2311455656277754E-5</v>
      </c>
      <c r="D57" s="94">
        <v>-1.7000000000000001E-4</v>
      </c>
      <c r="E57" s="81">
        <f t="shared" si="16"/>
        <v>-3.2311455656277754E-5</v>
      </c>
      <c r="F57" s="108">
        <f t="shared" si="17"/>
        <v>0.19006738621339855</v>
      </c>
      <c r="G57" s="106">
        <v>0</v>
      </c>
      <c r="H57" s="106">
        <v>0</v>
      </c>
      <c r="I57" s="106">
        <v>0</v>
      </c>
      <c r="J57" s="107">
        <v>1</v>
      </c>
      <c r="L57" s="94">
        <v>-1.7000000000000001E-4</v>
      </c>
      <c r="M57" s="76">
        <f t="shared" si="18"/>
        <v>-3.1171918215386887E-5</v>
      </c>
      <c r="N57" s="94">
        <v>-1.7000000000000001E-4</v>
      </c>
      <c r="O57" s="81">
        <f t="shared" si="19"/>
        <v>-3.1171918215386887E-5</v>
      </c>
      <c r="P57" s="108">
        <f t="shared" si="20"/>
        <v>0.18336422479639344</v>
      </c>
      <c r="Q57" s="106">
        <v>0</v>
      </c>
      <c r="R57" s="106">
        <v>0</v>
      </c>
      <c r="S57" s="106">
        <v>0</v>
      </c>
      <c r="T57" s="107">
        <v>1</v>
      </c>
      <c r="V57" s="94">
        <v>-1.7000000000000001E-4</v>
      </c>
      <c r="W57" s="76">
        <f t="shared" si="21"/>
        <v>-3.0030929552476708E-5</v>
      </c>
      <c r="X57" s="94">
        <v>-1.7000000000000001E-4</v>
      </c>
      <c r="Y57" s="81">
        <f t="shared" si="22"/>
        <v>-3.0030929552476708E-5</v>
      </c>
      <c r="Z57" s="108">
        <f t="shared" si="23"/>
        <v>0.17665252677927473</v>
      </c>
      <c r="AA57" s="106">
        <v>0</v>
      </c>
      <c r="AB57" s="106">
        <v>0</v>
      </c>
      <c r="AC57" s="106">
        <v>0</v>
      </c>
      <c r="AD57" s="107">
        <v>1</v>
      </c>
      <c r="AF57" s="94">
        <v>-1.7000000000000001E-4</v>
      </c>
      <c r="AG57" s="76">
        <f t="shared" si="24"/>
        <v>-2.8888542786783546E-5</v>
      </c>
      <c r="AH57" s="94">
        <v>-1.7000000000000001E-4</v>
      </c>
      <c r="AI57" s="81">
        <f t="shared" si="25"/>
        <v>-2.8888542786783546E-5</v>
      </c>
      <c r="AJ57" s="108">
        <f t="shared" si="26"/>
        <v>0.1699326046281385</v>
      </c>
      <c r="AK57" s="106">
        <v>0</v>
      </c>
      <c r="AL57" s="106">
        <v>0</v>
      </c>
      <c r="AM57" s="106">
        <v>0</v>
      </c>
      <c r="AN57" s="107">
        <v>1</v>
      </c>
      <c r="AP57" s="94">
        <v>-1.7000000000000001E-4</v>
      </c>
      <c r="AQ57" s="76">
        <f t="shared" si="27"/>
        <v>-2.7744811102632962E-5</v>
      </c>
      <c r="AR57" s="94">
        <v>-1.7000000000000001E-4</v>
      </c>
      <c r="AS57" s="81">
        <f t="shared" si="28"/>
        <v>-2.7744811102632962E-5</v>
      </c>
      <c r="AT57" s="108">
        <f t="shared" si="29"/>
        <v>0.16320477119195859</v>
      </c>
      <c r="AU57" s="106">
        <v>0</v>
      </c>
      <c r="AV57" s="106">
        <v>0</v>
      </c>
      <c r="AW57" s="106">
        <v>0</v>
      </c>
      <c r="AX57" s="107">
        <v>1</v>
      </c>
    </row>
    <row r="58" spans="2:50" x14ac:dyDescent="0.2">
      <c r="B58" s="94">
        <v>-6.9999999999999994E-5</v>
      </c>
      <c r="C58" s="76">
        <f t="shared" si="15"/>
        <v>-6.692370310819372E-5</v>
      </c>
      <c r="D58" s="94">
        <v>-6.9999999999999994E-5</v>
      </c>
      <c r="E58" s="81">
        <f t="shared" si="16"/>
        <v>-6.692370310819372E-5</v>
      </c>
      <c r="F58" s="108">
        <f t="shared" si="17"/>
        <v>0.95605290154562461</v>
      </c>
      <c r="G58" s="106">
        <v>2</v>
      </c>
      <c r="H58" s="106">
        <v>1</v>
      </c>
      <c r="I58" s="106">
        <v>0</v>
      </c>
      <c r="J58" s="107">
        <v>0</v>
      </c>
      <c r="L58" s="94">
        <v>-6.9999999999999994E-5</v>
      </c>
      <c r="M58" s="76">
        <f t="shared" si="18"/>
        <v>4.3150387899209117E-5</v>
      </c>
      <c r="N58" s="94">
        <v>-6.9999999999999994E-5</v>
      </c>
      <c r="O58" s="81">
        <f t="shared" si="19"/>
        <v>4.3150387899209117E-5</v>
      </c>
      <c r="P58" s="108">
        <f t="shared" si="20"/>
        <v>-0.6164341128458446</v>
      </c>
      <c r="Q58" s="106">
        <v>2</v>
      </c>
      <c r="R58" s="106">
        <v>1</v>
      </c>
      <c r="S58" s="106">
        <v>0</v>
      </c>
      <c r="T58" s="107">
        <v>0</v>
      </c>
      <c r="V58" s="94">
        <v>-6.9999999999999994E-5</v>
      </c>
      <c r="W58" s="76">
        <f t="shared" si="21"/>
        <v>3.5986549961229732E-5</v>
      </c>
      <c r="X58" s="94">
        <v>-6.9999999999999994E-5</v>
      </c>
      <c r="Y58" s="81">
        <f t="shared" si="22"/>
        <v>3.5986549961229732E-5</v>
      </c>
      <c r="Z58" s="108">
        <f t="shared" si="23"/>
        <v>-0.51409357087471053</v>
      </c>
      <c r="AA58" s="106">
        <v>2</v>
      </c>
      <c r="AB58" s="106">
        <v>1</v>
      </c>
      <c r="AC58" s="106">
        <v>0</v>
      </c>
      <c r="AD58" s="107">
        <v>0</v>
      </c>
      <c r="AF58" s="94">
        <v>-6.9999999999999994E-5</v>
      </c>
      <c r="AG58" s="76">
        <f t="shared" si="24"/>
        <v>-6.8951347325136016E-5</v>
      </c>
      <c r="AH58" s="94">
        <v>-6.9999999999999994E-5</v>
      </c>
      <c r="AI58" s="81">
        <f t="shared" si="25"/>
        <v>-6.8951347325136016E-5</v>
      </c>
      <c r="AJ58" s="108">
        <f t="shared" si="26"/>
        <v>0.98501924750194325</v>
      </c>
      <c r="AK58" s="106">
        <v>2</v>
      </c>
      <c r="AL58" s="106">
        <v>1</v>
      </c>
      <c r="AM58" s="106">
        <v>0</v>
      </c>
      <c r="AN58" s="107">
        <v>0</v>
      </c>
      <c r="AP58" s="94">
        <v>-6.9999999999999994E-5</v>
      </c>
      <c r="AQ58" s="76">
        <f t="shared" si="27"/>
        <v>1.3448889576897631E-5</v>
      </c>
      <c r="AR58" s="94">
        <v>-6.9999999999999994E-5</v>
      </c>
      <c r="AS58" s="81">
        <f t="shared" si="28"/>
        <v>1.3448889576897631E-5</v>
      </c>
      <c r="AT58" s="108">
        <f t="shared" si="29"/>
        <v>-0.19212699395568045</v>
      </c>
      <c r="AU58" s="106">
        <v>2</v>
      </c>
      <c r="AV58" s="106">
        <v>1</v>
      </c>
      <c r="AW58" s="106">
        <v>0</v>
      </c>
      <c r="AX58" s="107">
        <v>0</v>
      </c>
    </row>
    <row r="59" spans="2:50" x14ac:dyDescent="0.2">
      <c r="B59" s="94">
        <v>4.0000000000000003E-5</v>
      </c>
      <c r="C59" s="76">
        <f t="shared" si="15"/>
        <v>1.397337332058801E-5</v>
      </c>
      <c r="D59" s="94">
        <v>4.0000000000000003E-5</v>
      </c>
      <c r="E59" s="81">
        <f t="shared" si="16"/>
        <v>1.397337332058801E-5</v>
      </c>
      <c r="F59" s="108">
        <f t="shared" si="17"/>
        <v>0.34933433301470024</v>
      </c>
      <c r="G59" s="106">
        <v>0</v>
      </c>
      <c r="H59" s="106">
        <v>2</v>
      </c>
      <c r="I59" s="106">
        <v>-2</v>
      </c>
      <c r="J59" s="107">
        <v>0</v>
      </c>
      <c r="L59" s="94">
        <v>4.0000000000000003E-5</v>
      </c>
      <c r="M59" s="76">
        <f t="shared" si="18"/>
        <v>1.2373841487355938E-5</v>
      </c>
      <c r="N59" s="94">
        <v>4.0000000000000003E-5</v>
      </c>
      <c r="O59" s="81">
        <f t="shared" si="19"/>
        <v>1.2373841487355938E-5</v>
      </c>
      <c r="P59" s="108">
        <f t="shared" si="20"/>
        <v>0.30934603718389841</v>
      </c>
      <c r="Q59" s="106">
        <v>0</v>
      </c>
      <c r="R59" s="106">
        <v>2</v>
      </c>
      <c r="S59" s="106">
        <v>-2</v>
      </c>
      <c r="T59" s="107">
        <v>0</v>
      </c>
      <c r="V59" s="94">
        <v>4.0000000000000003E-5</v>
      </c>
      <c r="W59" s="76">
        <f t="shared" si="21"/>
        <v>1.0752114631022446E-5</v>
      </c>
      <c r="X59" s="94">
        <v>4.0000000000000003E-5</v>
      </c>
      <c r="Y59" s="81">
        <f t="shared" si="22"/>
        <v>1.0752114631022446E-5</v>
      </c>
      <c r="Z59" s="108">
        <f t="shared" si="23"/>
        <v>0.26880286577556112</v>
      </c>
      <c r="AA59" s="106">
        <v>0</v>
      </c>
      <c r="AB59" s="106">
        <v>2</v>
      </c>
      <c r="AC59" s="106">
        <v>-2</v>
      </c>
      <c r="AD59" s="107">
        <v>0</v>
      </c>
      <c r="AF59" s="94">
        <v>4.0000000000000003E-5</v>
      </c>
      <c r="AG59" s="76">
        <f t="shared" si="24"/>
        <v>9.1111016516485224E-6</v>
      </c>
      <c r="AH59" s="94">
        <v>4.0000000000000003E-5</v>
      </c>
      <c r="AI59" s="81">
        <f t="shared" si="25"/>
        <v>9.1111016516485224E-6</v>
      </c>
      <c r="AJ59" s="108">
        <f t="shared" si="26"/>
        <v>0.22777754129121305</v>
      </c>
      <c r="AK59" s="106">
        <v>0</v>
      </c>
      <c r="AL59" s="106">
        <v>2</v>
      </c>
      <c r="AM59" s="106">
        <v>-2</v>
      </c>
      <c r="AN59" s="107">
        <v>0</v>
      </c>
      <c r="AP59" s="94">
        <v>4.0000000000000003E-5</v>
      </c>
      <c r="AQ59" s="76">
        <f t="shared" si="27"/>
        <v>7.4537460428449038E-6</v>
      </c>
      <c r="AR59" s="94">
        <v>4.0000000000000003E-5</v>
      </c>
      <c r="AS59" s="81">
        <f t="shared" si="28"/>
        <v>7.4537460428449038E-6</v>
      </c>
      <c r="AT59" s="108">
        <f t="shared" si="29"/>
        <v>0.18634365107112258</v>
      </c>
      <c r="AU59" s="106">
        <v>0</v>
      </c>
      <c r="AV59" s="106">
        <v>2</v>
      </c>
      <c r="AW59" s="106">
        <v>-2</v>
      </c>
      <c r="AX59" s="107">
        <v>0</v>
      </c>
    </row>
    <row r="60" spans="2:50" x14ac:dyDescent="0.2">
      <c r="B60" s="94">
        <v>4.0000000000000003E-5</v>
      </c>
      <c r="C60" s="76">
        <f t="shared" si="15"/>
        <v>-3.0892442880261536E-6</v>
      </c>
      <c r="D60" s="94">
        <v>4.0000000000000003E-5</v>
      </c>
      <c r="E60" s="81">
        <f t="shared" si="16"/>
        <v>-3.0892442880261536E-6</v>
      </c>
      <c r="F60" s="108">
        <f t="shared" si="17"/>
        <v>-7.7231107200653834E-2</v>
      </c>
      <c r="G60" s="106">
        <v>3</v>
      </c>
      <c r="H60" s="106">
        <v>0</v>
      </c>
      <c r="I60" s="106">
        <v>0</v>
      </c>
      <c r="J60" s="107">
        <v>0</v>
      </c>
      <c r="L60" s="94">
        <v>4.0000000000000003E-5</v>
      </c>
      <c r="M60" s="76">
        <f t="shared" si="18"/>
        <v>-1.7696834998423447E-5</v>
      </c>
      <c r="N60" s="94">
        <v>4.0000000000000003E-5</v>
      </c>
      <c r="O60" s="81">
        <f t="shared" si="19"/>
        <v>-1.7696834998423447E-5</v>
      </c>
      <c r="P60" s="108">
        <f t="shared" si="20"/>
        <v>-0.44242087496058613</v>
      </c>
      <c r="Q60" s="106">
        <v>3</v>
      </c>
      <c r="R60" s="106">
        <v>0</v>
      </c>
      <c r="S60" s="106">
        <v>0</v>
      </c>
      <c r="T60" s="107">
        <v>0</v>
      </c>
      <c r="V60" s="94">
        <v>4.0000000000000003E-5</v>
      </c>
      <c r="W60" s="76">
        <f t="shared" si="21"/>
        <v>-2.9766615621999913E-5</v>
      </c>
      <c r="X60" s="94">
        <v>4.0000000000000003E-5</v>
      </c>
      <c r="Y60" s="81">
        <f t="shared" si="22"/>
        <v>-2.9766615621999913E-5</v>
      </c>
      <c r="Z60" s="108">
        <f t="shared" si="23"/>
        <v>-0.74416539054999775</v>
      </c>
      <c r="AA60" s="106">
        <v>3</v>
      </c>
      <c r="AB60" s="106">
        <v>0</v>
      </c>
      <c r="AC60" s="106">
        <v>0</v>
      </c>
      <c r="AD60" s="107">
        <v>0</v>
      </c>
      <c r="AF60" s="94">
        <v>4.0000000000000003E-5</v>
      </c>
      <c r="AG60" s="76">
        <f t="shared" si="24"/>
        <v>-3.7567722362220707E-5</v>
      </c>
      <c r="AH60" s="94">
        <v>4.0000000000000003E-5</v>
      </c>
      <c r="AI60" s="81">
        <f t="shared" si="25"/>
        <v>-3.7567722362220707E-5</v>
      </c>
      <c r="AJ60" s="108">
        <f t="shared" si="26"/>
        <v>-0.93919305905551753</v>
      </c>
      <c r="AK60" s="106">
        <v>3</v>
      </c>
      <c r="AL60" s="106">
        <v>0</v>
      </c>
      <c r="AM60" s="106">
        <v>0</v>
      </c>
      <c r="AN60" s="107">
        <v>0</v>
      </c>
      <c r="AP60" s="94">
        <v>4.0000000000000003E-5</v>
      </c>
      <c r="AQ60" s="76">
        <f t="shared" si="27"/>
        <v>-3.9981439506624639E-5</v>
      </c>
      <c r="AR60" s="94">
        <v>4.0000000000000003E-5</v>
      </c>
      <c r="AS60" s="81">
        <f t="shared" si="28"/>
        <v>-3.9981439506624639E-5</v>
      </c>
      <c r="AT60" s="108">
        <f t="shared" si="29"/>
        <v>-0.99953598766561591</v>
      </c>
      <c r="AU60" s="106">
        <v>3</v>
      </c>
      <c r="AV60" s="106">
        <v>0</v>
      </c>
      <c r="AW60" s="106">
        <v>0</v>
      </c>
      <c r="AX60" s="107">
        <v>0</v>
      </c>
    </row>
    <row r="61" spans="2:50" x14ac:dyDescent="0.2">
      <c r="B61" s="94">
        <v>3.0000000000000001E-5</v>
      </c>
      <c r="C61" s="76">
        <f t="shared" si="15"/>
        <v>2.972053136853388E-5</v>
      </c>
      <c r="D61" s="94">
        <v>3.0000000000000001E-5</v>
      </c>
      <c r="E61" s="81">
        <f t="shared" si="16"/>
        <v>2.972053136853388E-5</v>
      </c>
      <c r="F61" s="108">
        <f t="shared" si="17"/>
        <v>0.99068437895112937</v>
      </c>
      <c r="G61" s="106">
        <v>1</v>
      </c>
      <c r="H61" s="106">
        <v>1</v>
      </c>
      <c r="I61" s="106">
        <v>-2</v>
      </c>
      <c r="J61" s="107">
        <v>0</v>
      </c>
      <c r="L61" s="94">
        <v>3.0000000000000001E-5</v>
      </c>
      <c r="M61" s="76">
        <f t="shared" si="18"/>
        <v>3.2514683170302495E-6</v>
      </c>
      <c r="N61" s="94">
        <v>3.0000000000000001E-5</v>
      </c>
      <c r="O61" s="81">
        <f t="shared" si="19"/>
        <v>3.2514683170302495E-6</v>
      </c>
      <c r="P61" s="108">
        <f t="shared" si="20"/>
        <v>0.10838227723434164</v>
      </c>
      <c r="Q61" s="106">
        <v>1</v>
      </c>
      <c r="R61" s="106">
        <v>1</v>
      </c>
      <c r="S61" s="106">
        <v>-2</v>
      </c>
      <c r="T61" s="107">
        <v>0</v>
      </c>
      <c r="V61" s="94">
        <v>3.0000000000000001E-5</v>
      </c>
      <c r="W61" s="76">
        <f t="shared" si="21"/>
        <v>-2.9902634635749571E-5</v>
      </c>
      <c r="X61" s="94">
        <v>3.0000000000000001E-5</v>
      </c>
      <c r="Y61" s="81">
        <f t="shared" si="22"/>
        <v>-2.9902634635749571E-5</v>
      </c>
      <c r="Z61" s="108">
        <f t="shared" si="23"/>
        <v>-0.99675448785831899</v>
      </c>
      <c r="AA61" s="106">
        <v>1</v>
      </c>
      <c r="AB61" s="106">
        <v>1</v>
      </c>
      <c r="AC61" s="106">
        <v>-2</v>
      </c>
      <c r="AD61" s="107">
        <v>0</v>
      </c>
      <c r="AF61" s="94">
        <v>3.0000000000000001E-5</v>
      </c>
      <c r="AG61" s="76">
        <f t="shared" si="24"/>
        <v>-1.5767272676774188E-6</v>
      </c>
      <c r="AH61" s="94">
        <v>3.0000000000000001E-5</v>
      </c>
      <c r="AI61" s="81">
        <f t="shared" si="25"/>
        <v>-1.5767272676774188E-6</v>
      </c>
      <c r="AJ61" s="108">
        <f t="shared" si="26"/>
        <v>-5.2557575589247292E-2</v>
      </c>
      <c r="AK61" s="106">
        <v>1</v>
      </c>
      <c r="AL61" s="106">
        <v>1</v>
      </c>
      <c r="AM61" s="106">
        <v>-2</v>
      </c>
      <c r="AN61" s="107">
        <v>0</v>
      </c>
      <c r="AP61" s="94">
        <v>3.0000000000000001E-5</v>
      </c>
      <c r="AQ61" s="76">
        <f t="shared" si="27"/>
        <v>2.9990941566212008E-5</v>
      </c>
      <c r="AR61" s="94">
        <v>3.0000000000000001E-5</v>
      </c>
      <c r="AS61" s="81">
        <f t="shared" si="28"/>
        <v>2.9990941566212008E-5</v>
      </c>
      <c r="AT61" s="108">
        <f t="shared" si="29"/>
        <v>0.99969805220706687</v>
      </c>
      <c r="AU61" s="106">
        <v>1</v>
      </c>
      <c r="AV61" s="106">
        <v>1</v>
      </c>
      <c r="AW61" s="106">
        <v>-2</v>
      </c>
      <c r="AX61" s="107">
        <v>0</v>
      </c>
    </row>
    <row r="62" spans="2:50" x14ac:dyDescent="0.2">
      <c r="B62" s="94">
        <v>3.0000000000000001E-5</v>
      </c>
      <c r="C62" s="76">
        <f t="shared" si="15"/>
        <v>1.7607595125420518E-5</v>
      </c>
      <c r="D62" s="94">
        <v>3.0000000000000001E-5</v>
      </c>
      <c r="E62" s="81">
        <f t="shared" si="16"/>
        <v>1.7607595125420518E-5</v>
      </c>
      <c r="F62" s="108">
        <f t="shared" si="17"/>
        <v>0.58691983751401722</v>
      </c>
      <c r="G62" s="106">
        <v>0</v>
      </c>
      <c r="H62" s="106">
        <v>2</v>
      </c>
      <c r="I62" s="106">
        <v>2</v>
      </c>
      <c r="J62" s="107">
        <v>0</v>
      </c>
      <c r="L62" s="94">
        <v>3.0000000000000001E-5</v>
      </c>
      <c r="M62" s="76">
        <f t="shared" si="18"/>
        <v>2.7005563527546773E-5</v>
      </c>
      <c r="N62" s="94">
        <v>3.0000000000000001E-5</v>
      </c>
      <c r="O62" s="81">
        <f t="shared" si="19"/>
        <v>2.7005563527546773E-5</v>
      </c>
      <c r="P62" s="108">
        <f t="shared" si="20"/>
        <v>0.90018545091822577</v>
      </c>
      <c r="Q62" s="106">
        <v>0</v>
      </c>
      <c r="R62" s="106">
        <v>2</v>
      </c>
      <c r="S62" s="106">
        <v>2</v>
      </c>
      <c r="T62" s="107">
        <v>0</v>
      </c>
      <c r="V62" s="94">
        <v>3.0000000000000001E-5</v>
      </c>
      <c r="W62" s="76">
        <f t="shared" si="21"/>
        <v>2.9973107850739379E-5</v>
      </c>
      <c r="X62" s="94">
        <v>3.0000000000000001E-5</v>
      </c>
      <c r="Y62" s="81">
        <f t="shared" si="22"/>
        <v>2.9973107850739379E-5</v>
      </c>
      <c r="Z62" s="108">
        <f t="shared" si="23"/>
        <v>0.99910359502464596</v>
      </c>
      <c r="AA62" s="106">
        <v>0</v>
      </c>
      <c r="AB62" s="106">
        <v>2</v>
      </c>
      <c r="AC62" s="106">
        <v>2</v>
      </c>
      <c r="AD62" s="107">
        <v>0</v>
      </c>
      <c r="AF62" s="94">
        <v>3.0000000000000001E-5</v>
      </c>
      <c r="AG62" s="76">
        <f t="shared" si="24"/>
        <v>2.5803611901582399E-5</v>
      </c>
      <c r="AH62" s="94">
        <v>3.0000000000000001E-5</v>
      </c>
      <c r="AI62" s="81">
        <f t="shared" si="25"/>
        <v>2.5803611901582399E-5</v>
      </c>
      <c r="AJ62" s="108">
        <f t="shared" si="26"/>
        <v>0.86012039671941332</v>
      </c>
      <c r="AK62" s="106">
        <v>0</v>
      </c>
      <c r="AL62" s="106">
        <v>2</v>
      </c>
      <c r="AM62" s="106">
        <v>2</v>
      </c>
      <c r="AN62" s="107">
        <v>0</v>
      </c>
      <c r="AP62" s="94">
        <v>3.0000000000000001E-5</v>
      </c>
      <c r="AQ62" s="76">
        <f t="shared" si="27"/>
        <v>1.5489894330187442E-5</v>
      </c>
      <c r="AR62" s="94">
        <v>3.0000000000000001E-5</v>
      </c>
      <c r="AS62" s="81">
        <f t="shared" si="28"/>
        <v>1.5489894330187442E-5</v>
      </c>
      <c r="AT62" s="108">
        <f t="shared" si="29"/>
        <v>0.51632981100624809</v>
      </c>
      <c r="AU62" s="106">
        <v>0</v>
      </c>
      <c r="AV62" s="106">
        <v>2</v>
      </c>
      <c r="AW62" s="106">
        <v>2</v>
      </c>
      <c r="AX62" s="107">
        <v>0</v>
      </c>
    </row>
    <row r="63" spans="2:50" x14ac:dyDescent="0.2">
      <c r="B63" s="94">
        <v>-3.0000000000000001E-5</v>
      </c>
      <c r="C63" s="76">
        <f t="shared" si="15"/>
        <v>-2.7549480840531275E-5</v>
      </c>
      <c r="D63" s="94">
        <v>-3.0000000000000001E-5</v>
      </c>
      <c r="E63" s="81">
        <f t="shared" si="16"/>
        <v>-2.7549480840531275E-5</v>
      </c>
      <c r="F63" s="108">
        <f t="shared" si="17"/>
        <v>0.91831602801770917</v>
      </c>
      <c r="G63" s="106">
        <v>1</v>
      </c>
      <c r="H63" s="106">
        <v>1</v>
      </c>
      <c r="I63" s="106">
        <v>2</v>
      </c>
      <c r="J63" s="107">
        <v>0</v>
      </c>
      <c r="L63" s="94">
        <v>-3.0000000000000001E-5</v>
      </c>
      <c r="M63" s="76">
        <f t="shared" si="18"/>
        <v>-2.376380050970287E-5</v>
      </c>
      <c r="N63" s="94">
        <v>-3.0000000000000001E-5</v>
      </c>
      <c r="O63" s="81">
        <f t="shared" si="19"/>
        <v>-2.376380050970287E-5</v>
      </c>
      <c r="P63" s="108">
        <f t="shared" si="20"/>
        <v>0.79212668365676231</v>
      </c>
      <c r="Q63" s="106">
        <v>1</v>
      </c>
      <c r="R63" s="106">
        <v>1</v>
      </c>
      <c r="S63" s="106">
        <v>2</v>
      </c>
      <c r="T63" s="107">
        <v>0</v>
      </c>
      <c r="V63" s="94">
        <v>-3.0000000000000001E-5</v>
      </c>
      <c r="W63" s="76">
        <f t="shared" si="21"/>
        <v>4.4599011835067747E-6</v>
      </c>
      <c r="X63" s="94">
        <v>-3.0000000000000001E-5</v>
      </c>
      <c r="Y63" s="81">
        <f t="shared" si="22"/>
        <v>4.4599011835067747E-6</v>
      </c>
      <c r="Z63" s="108">
        <f t="shared" si="23"/>
        <v>-0.14866337278355915</v>
      </c>
      <c r="AA63" s="106">
        <v>1</v>
      </c>
      <c r="AB63" s="106">
        <v>1</v>
      </c>
      <c r="AC63" s="106">
        <v>2</v>
      </c>
      <c r="AD63" s="107">
        <v>0</v>
      </c>
      <c r="AF63" s="94">
        <v>-3.0000000000000001E-5</v>
      </c>
      <c r="AG63" s="76">
        <f t="shared" si="24"/>
        <v>2.8097166445637613E-5</v>
      </c>
      <c r="AH63" s="94">
        <v>-3.0000000000000001E-5</v>
      </c>
      <c r="AI63" s="81">
        <f t="shared" si="25"/>
        <v>2.8097166445637613E-5</v>
      </c>
      <c r="AJ63" s="108">
        <f t="shared" si="26"/>
        <v>-0.93657221485458708</v>
      </c>
      <c r="AK63" s="106">
        <v>1</v>
      </c>
      <c r="AL63" s="106">
        <v>1</v>
      </c>
      <c r="AM63" s="106">
        <v>2</v>
      </c>
      <c r="AN63" s="107">
        <v>0</v>
      </c>
      <c r="AP63" s="94">
        <v>-3.0000000000000001E-5</v>
      </c>
      <c r="AQ63" s="76">
        <f t="shared" si="27"/>
        <v>2.284009919054106E-5</v>
      </c>
      <c r="AR63" s="94">
        <v>-3.0000000000000001E-5</v>
      </c>
      <c r="AS63" s="81">
        <f t="shared" si="28"/>
        <v>2.284009919054106E-5</v>
      </c>
      <c r="AT63" s="108">
        <f t="shared" si="29"/>
        <v>-0.761336639684702</v>
      </c>
      <c r="AU63" s="106">
        <v>1</v>
      </c>
      <c r="AV63" s="106">
        <v>1</v>
      </c>
      <c r="AW63" s="106">
        <v>2</v>
      </c>
      <c r="AX63" s="107">
        <v>0</v>
      </c>
    </row>
    <row r="64" spans="2:50" x14ac:dyDescent="0.2">
      <c r="B64" s="94">
        <v>3.0000000000000001E-5</v>
      </c>
      <c r="C64" s="76">
        <f t="shared" si="15"/>
        <v>2.812467411906005E-5</v>
      </c>
      <c r="D64" s="94">
        <v>3.0000000000000001E-5</v>
      </c>
      <c r="E64" s="81">
        <f t="shared" si="16"/>
        <v>2.812467411906005E-5</v>
      </c>
      <c r="F64" s="108">
        <f t="shared" si="17"/>
        <v>0.93748913730200167</v>
      </c>
      <c r="G64" s="106">
        <v>-1</v>
      </c>
      <c r="H64" s="106">
        <v>1</v>
      </c>
      <c r="I64" s="106">
        <v>2</v>
      </c>
      <c r="J64" s="107">
        <v>0</v>
      </c>
      <c r="L64" s="94">
        <v>3.0000000000000001E-5</v>
      </c>
      <c r="M64" s="76">
        <f t="shared" si="18"/>
        <v>1.7155387092650012E-5</v>
      </c>
      <c r="N64" s="94">
        <v>3.0000000000000001E-5</v>
      </c>
      <c r="O64" s="81">
        <f t="shared" si="19"/>
        <v>1.7155387092650012E-5</v>
      </c>
      <c r="P64" s="108">
        <f t="shared" si="20"/>
        <v>0.5718462364216671</v>
      </c>
      <c r="Q64" s="106">
        <v>-1</v>
      </c>
      <c r="R64" s="106">
        <v>1</v>
      </c>
      <c r="S64" s="106">
        <v>2</v>
      </c>
      <c r="T64" s="107">
        <v>0</v>
      </c>
      <c r="V64" s="94">
        <v>3.0000000000000001E-5</v>
      </c>
      <c r="W64" s="76">
        <f t="shared" si="21"/>
        <v>-1.9526320577933488E-5</v>
      </c>
      <c r="X64" s="94">
        <v>3.0000000000000001E-5</v>
      </c>
      <c r="Y64" s="81">
        <f t="shared" si="22"/>
        <v>-1.9526320577933488E-5</v>
      </c>
      <c r="Z64" s="108">
        <f t="shared" si="23"/>
        <v>-0.6508773525977829</v>
      </c>
      <c r="AA64" s="106">
        <v>-1</v>
      </c>
      <c r="AB64" s="106">
        <v>1</v>
      </c>
      <c r="AC64" s="106">
        <v>2</v>
      </c>
      <c r="AD64" s="107">
        <v>0</v>
      </c>
      <c r="AF64" s="94">
        <v>3.0000000000000001E-5</v>
      </c>
      <c r="AG64" s="76">
        <f t="shared" si="24"/>
        <v>-2.6942062659007659E-5</v>
      </c>
      <c r="AH64" s="94">
        <v>3.0000000000000001E-5</v>
      </c>
      <c r="AI64" s="81">
        <f t="shared" si="25"/>
        <v>-2.6942062659007659E-5</v>
      </c>
      <c r="AJ64" s="108">
        <f t="shared" si="26"/>
        <v>-0.89806875530025532</v>
      </c>
      <c r="AK64" s="106">
        <v>-1</v>
      </c>
      <c r="AL64" s="106">
        <v>1</v>
      </c>
      <c r="AM64" s="106">
        <v>2</v>
      </c>
      <c r="AN64" s="107">
        <v>0</v>
      </c>
      <c r="AP64" s="94">
        <v>3.0000000000000001E-5</v>
      </c>
      <c r="AQ64" s="76">
        <f t="shared" si="27"/>
        <v>6.0228432949147379E-6</v>
      </c>
      <c r="AR64" s="94">
        <v>3.0000000000000001E-5</v>
      </c>
      <c r="AS64" s="81">
        <f t="shared" si="28"/>
        <v>6.0228432949147379E-6</v>
      </c>
      <c r="AT64" s="108">
        <f t="shared" si="29"/>
        <v>0.20076144316382458</v>
      </c>
      <c r="AU64" s="106">
        <v>-1</v>
      </c>
      <c r="AV64" s="106">
        <v>1</v>
      </c>
      <c r="AW64" s="106">
        <v>2</v>
      </c>
      <c r="AX64" s="107">
        <v>0</v>
      </c>
    </row>
    <row r="65" spans="2:50" x14ac:dyDescent="0.2">
      <c r="B65" s="94">
        <v>-2.0000000000000002E-5</v>
      </c>
      <c r="C65" s="76">
        <f t="shared" si="15"/>
        <v>-1.9927685177204722E-5</v>
      </c>
      <c r="D65" s="94">
        <v>-2.0000000000000002E-5</v>
      </c>
      <c r="E65" s="81">
        <f t="shared" si="16"/>
        <v>-1.9927685177204722E-5</v>
      </c>
      <c r="F65" s="108">
        <f t="shared" si="17"/>
        <v>0.99638425886023596</v>
      </c>
      <c r="G65" s="106">
        <v>-1</v>
      </c>
      <c r="H65" s="106">
        <v>1</v>
      </c>
      <c r="I65" s="106">
        <v>-2</v>
      </c>
      <c r="J65" s="107">
        <v>0</v>
      </c>
      <c r="L65" s="94">
        <v>-2.0000000000000002E-5</v>
      </c>
      <c r="M65" s="76">
        <f t="shared" si="18"/>
        <v>3.9132955078245097E-6</v>
      </c>
      <c r="N65" s="94">
        <v>-2.0000000000000002E-5</v>
      </c>
      <c r="O65" s="81">
        <f t="shared" si="19"/>
        <v>3.9132955078245097E-6</v>
      </c>
      <c r="P65" s="108">
        <f t="shared" si="20"/>
        <v>-0.19566477539122545</v>
      </c>
      <c r="Q65" s="106">
        <v>-1</v>
      </c>
      <c r="R65" s="106">
        <v>1</v>
      </c>
      <c r="S65" s="106">
        <v>-2</v>
      </c>
      <c r="T65" s="107">
        <v>0</v>
      </c>
      <c r="V65" s="94">
        <v>-2.0000000000000002E-5</v>
      </c>
      <c r="W65" s="76">
        <f t="shared" si="21"/>
        <v>1.7749730450838222E-5</v>
      </c>
      <c r="X65" s="94">
        <v>-2.0000000000000002E-5</v>
      </c>
      <c r="Y65" s="81">
        <f t="shared" si="22"/>
        <v>1.7749730450838222E-5</v>
      </c>
      <c r="Z65" s="108">
        <f t="shared" si="23"/>
        <v>-0.88748652254191096</v>
      </c>
      <c r="AA65" s="106">
        <v>-1</v>
      </c>
      <c r="AB65" s="106">
        <v>1</v>
      </c>
      <c r="AC65" s="106">
        <v>-2</v>
      </c>
      <c r="AD65" s="107">
        <v>0</v>
      </c>
      <c r="AF65" s="94">
        <v>-2.0000000000000002E-5</v>
      </c>
      <c r="AG65" s="76">
        <f t="shared" si="24"/>
        <v>-1.3791953853270043E-5</v>
      </c>
      <c r="AH65" s="94">
        <v>-2.0000000000000002E-5</v>
      </c>
      <c r="AI65" s="81">
        <f t="shared" si="25"/>
        <v>-1.3791953853270043E-5</v>
      </c>
      <c r="AJ65" s="108">
        <f t="shared" si="26"/>
        <v>0.68959769266350213</v>
      </c>
      <c r="AK65" s="106">
        <v>-1</v>
      </c>
      <c r="AL65" s="106">
        <v>1</v>
      </c>
      <c r="AM65" s="106">
        <v>-2</v>
      </c>
      <c r="AN65" s="107">
        <v>0</v>
      </c>
      <c r="AP65" s="94">
        <v>-2.0000000000000002E-5</v>
      </c>
      <c r="AQ65" s="76">
        <f t="shared" si="27"/>
        <v>-1.0073782897809807E-5</v>
      </c>
      <c r="AR65" s="94">
        <v>-2.0000000000000002E-5</v>
      </c>
      <c r="AS65" s="81">
        <f t="shared" si="28"/>
        <v>-1.0073782897809807E-5</v>
      </c>
      <c r="AT65" s="108">
        <f t="shared" si="29"/>
        <v>0.50368914489049033</v>
      </c>
      <c r="AU65" s="106">
        <v>-1</v>
      </c>
      <c r="AV65" s="106">
        <v>1</v>
      </c>
      <c r="AW65" s="106">
        <v>-2</v>
      </c>
      <c r="AX65" s="107">
        <v>0</v>
      </c>
    </row>
    <row r="66" spans="2:50" x14ac:dyDescent="0.2">
      <c r="B66" s="94">
        <v>-2.0000000000000002E-5</v>
      </c>
      <c r="C66" s="76">
        <f t="shared" si="15"/>
        <v>-1.4443542058493889E-5</v>
      </c>
      <c r="D66" s="94">
        <v>-2.0000000000000002E-5</v>
      </c>
      <c r="E66" s="81">
        <f t="shared" si="16"/>
        <v>-1.4443542058493889E-5</v>
      </c>
      <c r="F66" s="108">
        <f t="shared" si="17"/>
        <v>0.72217710292469439</v>
      </c>
      <c r="G66" s="106">
        <v>1</v>
      </c>
      <c r="H66" s="106">
        <v>3</v>
      </c>
      <c r="I66" s="106">
        <v>0</v>
      </c>
      <c r="J66" s="107">
        <v>0</v>
      </c>
      <c r="L66" s="94">
        <v>-2.0000000000000002E-5</v>
      </c>
      <c r="M66" s="76">
        <f t="shared" si="18"/>
        <v>-1.8841678731039001E-5</v>
      </c>
      <c r="N66" s="94">
        <v>-2.0000000000000002E-5</v>
      </c>
      <c r="O66" s="81">
        <f t="shared" si="19"/>
        <v>-1.8841678731039001E-5</v>
      </c>
      <c r="P66" s="108">
        <f t="shared" si="20"/>
        <v>0.94208393655195</v>
      </c>
      <c r="Q66" s="106">
        <v>1</v>
      </c>
      <c r="R66" s="106">
        <v>3</v>
      </c>
      <c r="S66" s="106">
        <v>0</v>
      </c>
      <c r="T66" s="107">
        <v>0</v>
      </c>
      <c r="V66" s="94">
        <v>-2.0000000000000002E-5</v>
      </c>
      <c r="W66" s="76">
        <f t="shared" si="21"/>
        <v>-2.452480837417196E-6</v>
      </c>
      <c r="X66" s="94">
        <v>-2.0000000000000002E-5</v>
      </c>
      <c r="Y66" s="81">
        <f t="shared" si="22"/>
        <v>-2.452480837417196E-6</v>
      </c>
      <c r="Z66" s="108">
        <f t="shared" si="23"/>
        <v>0.12262404187085979</v>
      </c>
      <c r="AA66" s="106">
        <v>1</v>
      </c>
      <c r="AB66" s="106">
        <v>3</v>
      </c>
      <c r="AC66" s="106">
        <v>0</v>
      </c>
      <c r="AD66" s="107">
        <v>0</v>
      </c>
      <c r="AF66" s="94">
        <v>-2.0000000000000002E-5</v>
      </c>
      <c r="AG66" s="76">
        <f t="shared" si="24"/>
        <v>1.6642449406338797E-5</v>
      </c>
      <c r="AH66" s="94">
        <v>-2.0000000000000002E-5</v>
      </c>
      <c r="AI66" s="81">
        <f t="shared" si="25"/>
        <v>1.6642449406338797E-5</v>
      </c>
      <c r="AJ66" s="108">
        <f t="shared" si="26"/>
        <v>-0.83212247031693987</v>
      </c>
      <c r="AK66" s="106">
        <v>1</v>
      </c>
      <c r="AL66" s="106">
        <v>3</v>
      </c>
      <c r="AM66" s="106">
        <v>0</v>
      </c>
      <c r="AN66" s="107">
        <v>0</v>
      </c>
      <c r="AP66" s="94">
        <v>-2.0000000000000002E-5</v>
      </c>
      <c r="AQ66" s="76">
        <f t="shared" si="27"/>
        <v>1.7376374311673834E-5</v>
      </c>
      <c r="AR66" s="94">
        <v>-2.0000000000000002E-5</v>
      </c>
      <c r="AS66" s="81">
        <f t="shared" si="28"/>
        <v>1.7376374311673834E-5</v>
      </c>
      <c r="AT66" s="108">
        <f t="shared" si="29"/>
        <v>-0.86881871558369161</v>
      </c>
      <c r="AU66" s="106">
        <v>1</v>
      </c>
      <c r="AV66" s="106">
        <v>3</v>
      </c>
      <c r="AW66" s="106">
        <v>0</v>
      </c>
      <c r="AX66" s="107">
        <v>0</v>
      </c>
    </row>
    <row r="67" spans="2:50" x14ac:dyDescent="0.2">
      <c r="B67" s="96">
        <v>2.0000000000000002E-5</v>
      </c>
      <c r="C67" s="74">
        <f t="shared" si="15"/>
        <v>1.6655592239504737E-5</v>
      </c>
      <c r="D67" s="96">
        <v>2.0000000000000002E-5</v>
      </c>
      <c r="E67" s="85">
        <f t="shared" si="16"/>
        <v>1.6655592239504737E-5</v>
      </c>
      <c r="F67" s="109">
        <f t="shared" si="17"/>
        <v>0.83277961197523687</v>
      </c>
      <c r="G67" s="110">
        <v>0</v>
      </c>
      <c r="H67" s="110">
        <v>4</v>
      </c>
      <c r="I67" s="110">
        <v>0</v>
      </c>
      <c r="J67" s="111">
        <v>0</v>
      </c>
      <c r="L67" s="96">
        <v>2.0000000000000002E-5</v>
      </c>
      <c r="M67" s="74">
        <f t="shared" si="18"/>
        <v>1.9815064745696552E-5</v>
      </c>
      <c r="N67" s="96">
        <v>2.0000000000000002E-5</v>
      </c>
      <c r="O67" s="85">
        <f t="shared" si="19"/>
        <v>1.9815064745696552E-5</v>
      </c>
      <c r="P67" s="109">
        <f t="shared" si="20"/>
        <v>0.99075323728482745</v>
      </c>
      <c r="Q67" s="110">
        <v>0</v>
      </c>
      <c r="R67" s="110">
        <v>4</v>
      </c>
      <c r="S67" s="110">
        <v>0</v>
      </c>
      <c r="T67" s="111">
        <v>0</v>
      </c>
      <c r="V67" s="96">
        <v>2.0000000000000002E-5</v>
      </c>
      <c r="W67" s="74">
        <f t="shared" si="21"/>
        <v>1.9019056232792557E-5</v>
      </c>
      <c r="X67" s="96">
        <v>2.0000000000000002E-5</v>
      </c>
      <c r="Y67" s="85">
        <f t="shared" si="22"/>
        <v>1.9019056232792557E-5</v>
      </c>
      <c r="Z67" s="109">
        <f t="shared" si="23"/>
        <v>0.95095281163962775</v>
      </c>
      <c r="AA67" s="110">
        <v>0</v>
      </c>
      <c r="AB67" s="110">
        <v>4</v>
      </c>
      <c r="AC67" s="110">
        <v>0</v>
      </c>
      <c r="AD67" s="111">
        <v>0</v>
      </c>
      <c r="AF67" s="96">
        <v>2.0000000000000002E-5</v>
      </c>
      <c r="AG67" s="74">
        <f t="shared" si="24"/>
        <v>1.4426465830049834E-5</v>
      </c>
      <c r="AH67" s="96">
        <v>2.0000000000000002E-5</v>
      </c>
      <c r="AI67" s="85">
        <f t="shared" si="25"/>
        <v>1.4426465830049834E-5</v>
      </c>
      <c r="AJ67" s="109">
        <f t="shared" si="26"/>
        <v>0.72132329150249164</v>
      </c>
      <c r="AK67" s="110">
        <v>0</v>
      </c>
      <c r="AL67" s="110">
        <v>4</v>
      </c>
      <c r="AM67" s="110">
        <v>0</v>
      </c>
      <c r="AN67" s="111">
        <v>0</v>
      </c>
      <c r="AP67" s="96">
        <v>2.0000000000000002E-5</v>
      </c>
      <c r="AQ67" s="74">
        <f t="shared" si="27"/>
        <v>6.9540659215949792E-6</v>
      </c>
      <c r="AR67" s="96">
        <v>2.0000000000000002E-5</v>
      </c>
      <c r="AS67" s="85">
        <f t="shared" si="28"/>
        <v>6.9540659215949792E-6</v>
      </c>
      <c r="AT67" s="109">
        <f t="shared" si="29"/>
        <v>0.34770329607974892</v>
      </c>
      <c r="AU67" s="110">
        <v>0</v>
      </c>
      <c r="AV67" s="110">
        <v>4</v>
      </c>
      <c r="AW67" s="110">
        <v>0</v>
      </c>
      <c r="AX67" s="111">
        <v>0</v>
      </c>
    </row>
    <row r="68" spans="2:50" x14ac:dyDescent="0.2">
      <c r="C68" s="98">
        <f>SUM(C43:C67)</f>
        <v>-0.4084470330928256</v>
      </c>
      <c r="E68" s="98">
        <f>SUM(E43:E67)</f>
        <v>-0.40740949426962614</v>
      </c>
      <c r="M68" s="98">
        <f>SUM(M43:M67)</f>
        <v>0.13130836805017987</v>
      </c>
      <c r="O68" s="98">
        <f>SUM(O43:O67)</f>
        <v>0.13088652575991239</v>
      </c>
      <c r="W68" s="98">
        <f>SUM(W43:W67)</f>
        <v>0.29954718985513468</v>
      </c>
      <c r="Y68" s="98">
        <f>SUM(Y43:Y67)</f>
        <v>0.29830996952600947</v>
      </c>
      <c r="AG68" s="98">
        <f>SUM(AG43:AG67)</f>
        <v>-0.26629073811942555</v>
      </c>
      <c r="AI68" s="98">
        <f>SUM(AI43:AI67)</f>
        <v>-0.26583562292298946</v>
      </c>
      <c r="AQ68" s="98">
        <f>SUM(AQ43:AQ67)</f>
        <v>-0.42813987138145815</v>
      </c>
      <c r="AS68" s="98">
        <f>SUM(AS43:AS67)</f>
        <v>-0.42767201839648178</v>
      </c>
    </row>
    <row r="70" spans="2:50" x14ac:dyDescent="0.2">
      <c r="B70" s="155" t="s">
        <v>110</v>
      </c>
      <c r="C70" s="156"/>
      <c r="D70" s="112"/>
      <c r="E70" s="112"/>
      <c r="F70" s="100" t="s">
        <v>109</v>
      </c>
      <c r="G70" s="101" t="s">
        <v>47</v>
      </c>
      <c r="H70" s="101" t="s">
        <v>57</v>
      </c>
      <c r="I70" s="101" t="s">
        <v>55</v>
      </c>
      <c r="J70" s="102" t="s">
        <v>108</v>
      </c>
      <c r="L70" s="155" t="s">
        <v>110</v>
      </c>
      <c r="M70" s="156"/>
      <c r="N70" s="112"/>
      <c r="O70" s="112"/>
      <c r="P70" s="103" t="s">
        <v>109</v>
      </c>
      <c r="Q70" s="101" t="s">
        <v>47</v>
      </c>
      <c r="R70" s="101" t="s">
        <v>57</v>
      </c>
      <c r="S70" s="101" t="s">
        <v>55</v>
      </c>
      <c r="T70" s="102" t="s">
        <v>108</v>
      </c>
      <c r="V70" s="155" t="s">
        <v>110</v>
      </c>
      <c r="W70" s="156"/>
      <c r="X70" s="112"/>
      <c r="Y70" s="112"/>
      <c r="Z70" s="103" t="s">
        <v>109</v>
      </c>
      <c r="AA70" s="101" t="s">
        <v>47</v>
      </c>
      <c r="AB70" s="101" t="s">
        <v>57</v>
      </c>
      <c r="AC70" s="101" t="s">
        <v>55</v>
      </c>
      <c r="AD70" s="102" t="s">
        <v>108</v>
      </c>
      <c r="AF70" s="155" t="s">
        <v>110</v>
      </c>
      <c r="AG70" s="156"/>
      <c r="AH70" s="112"/>
      <c r="AI70" s="112"/>
      <c r="AJ70" s="103" t="s">
        <v>109</v>
      </c>
      <c r="AK70" s="101" t="s">
        <v>47</v>
      </c>
      <c r="AL70" s="101" t="s">
        <v>57</v>
      </c>
      <c r="AM70" s="101" t="s">
        <v>55</v>
      </c>
      <c r="AN70" s="102" t="s">
        <v>108</v>
      </c>
      <c r="AP70" s="155" t="s">
        <v>110</v>
      </c>
      <c r="AQ70" s="156"/>
      <c r="AR70" s="112"/>
      <c r="AS70" s="112"/>
      <c r="AT70" s="103" t="s">
        <v>109</v>
      </c>
      <c r="AU70" s="101" t="s">
        <v>47</v>
      </c>
      <c r="AV70" s="101" t="s">
        <v>57</v>
      </c>
      <c r="AW70" s="101" t="s">
        <v>55</v>
      </c>
      <c r="AX70" s="102" t="s">
        <v>108</v>
      </c>
    </row>
    <row r="71" spans="2:50" x14ac:dyDescent="0.2">
      <c r="B71" s="94">
        <v>-0.62800999999999996</v>
      </c>
      <c r="C71" s="76">
        <f t="shared" ref="C71:C95" si="30">B71*F71</f>
        <v>-0.60909910998848804</v>
      </c>
      <c r="F71" s="105">
        <f t="shared" ref="F71:F95" si="31">SIN($C$4*(G71*C$19+H71*C$20+I71*C$21+J71*C$22))</f>
        <v>0.96988759731292196</v>
      </c>
      <c r="G71" s="106">
        <v>0</v>
      </c>
      <c r="H71" s="106">
        <v>1</v>
      </c>
      <c r="I71" s="106">
        <v>0</v>
      </c>
      <c r="J71" s="107">
        <v>0</v>
      </c>
      <c r="L71" s="94">
        <v>-0.62800999999999996</v>
      </c>
      <c r="M71" s="76">
        <f t="shared" ref="M71:M95" si="32">L71*P71</f>
        <v>0.22045283635389115</v>
      </c>
      <c r="P71" s="105">
        <f t="shared" ref="P71:P95" si="33">SIN($C$4*(Q71*M$19+R71*M$20+S71*M$21+T71*M$22))</f>
        <v>-0.35103395862150472</v>
      </c>
      <c r="Q71" s="106">
        <v>0</v>
      </c>
      <c r="R71" s="106">
        <v>1</v>
      </c>
      <c r="S71" s="106">
        <v>0</v>
      </c>
      <c r="T71" s="107">
        <v>0</v>
      </c>
      <c r="V71" s="94">
        <v>-0.62800999999999996</v>
      </c>
      <c r="W71" s="76">
        <f t="shared" ref="W71:W95" si="34">V71*Z71</f>
        <v>0.5595370971850242</v>
      </c>
      <c r="Z71" s="105">
        <f t="shared" ref="Z71:Z95" si="35">SIN($C$4*(AA71*W$19+AB71*W$20+AC71*W$21+AD71*W$22))</f>
        <v>-0.89096845143393288</v>
      </c>
      <c r="AA71" s="106">
        <v>0</v>
      </c>
      <c r="AB71" s="106">
        <v>1</v>
      </c>
      <c r="AC71" s="106">
        <v>0</v>
      </c>
      <c r="AD71" s="107">
        <v>0</v>
      </c>
      <c r="AF71" s="94">
        <v>-0.62800999999999996</v>
      </c>
      <c r="AG71" s="76">
        <f t="shared" ref="AG71:AG95" si="36">AF71*AJ71</f>
        <v>-0.34624747450154408</v>
      </c>
      <c r="AJ71" s="105">
        <f t="shared" ref="AJ71:AJ95" si="37">SIN($C$4*(AK71*AG$19+AL71*AG$20+AM71*AG$21+AN71*AG$22))</f>
        <v>0.55134070237980937</v>
      </c>
      <c r="AK71" s="106">
        <v>0</v>
      </c>
      <c r="AL71" s="106">
        <v>1</v>
      </c>
      <c r="AM71" s="106">
        <v>0</v>
      </c>
      <c r="AN71" s="107">
        <v>0</v>
      </c>
      <c r="AP71" s="94">
        <v>-0.62800999999999996</v>
      </c>
      <c r="AQ71" s="76">
        <f t="shared" ref="AQ71:AQ95" si="38">AP71*AT71</f>
        <v>-0.4816940444363767</v>
      </c>
      <c r="AT71" s="105">
        <f t="shared" ref="AT71:AT95" si="39">SIN($C$4*(AU71*AQ$19+AV71*AQ$20+AW71*AQ$21+AX71*AQ$22))</f>
        <v>0.76701651954009764</v>
      </c>
      <c r="AU71" s="106">
        <v>0</v>
      </c>
      <c r="AV71" s="106">
        <v>1</v>
      </c>
      <c r="AW71" s="106">
        <v>0</v>
      </c>
      <c r="AX71" s="107">
        <v>0</v>
      </c>
    </row>
    <row r="72" spans="2:50" x14ac:dyDescent="0.2">
      <c r="B72" s="94">
        <f>0.17172*C16</f>
        <v>0.17161408196445901</v>
      </c>
      <c r="C72" s="76">
        <f t="shared" si="30"/>
        <v>-4.4218961935731955E-3</v>
      </c>
      <c r="F72" s="108">
        <f t="shared" si="31"/>
        <v>-2.5766511366409679E-2</v>
      </c>
      <c r="G72" s="106">
        <v>1</v>
      </c>
      <c r="H72" s="106">
        <v>0</v>
      </c>
      <c r="I72" s="106">
        <v>0</v>
      </c>
      <c r="J72" s="107">
        <v>0</v>
      </c>
      <c r="L72" s="94">
        <f>0.17172*M16</f>
        <v>0.17161399451036685</v>
      </c>
      <c r="M72" s="76">
        <f t="shared" si="32"/>
        <v>-2.6114835164587787E-2</v>
      </c>
      <c r="P72" s="108">
        <f t="shared" si="33"/>
        <v>-0.15217194401363487</v>
      </c>
      <c r="Q72" s="106">
        <v>1</v>
      </c>
      <c r="R72" s="106">
        <v>0</v>
      </c>
      <c r="S72" s="106">
        <v>0</v>
      </c>
      <c r="T72" s="107">
        <v>0</v>
      </c>
      <c r="V72" s="94">
        <f>0.17172*W16</f>
        <v>0.17161390705617088</v>
      </c>
      <c r="W72" s="76">
        <f t="shared" si="34"/>
        <v>-4.7387137854254711E-2</v>
      </c>
      <c r="Z72" s="108">
        <f t="shared" si="35"/>
        <v>-0.27612644375461043</v>
      </c>
      <c r="AA72" s="106">
        <v>1</v>
      </c>
      <c r="AB72" s="106">
        <v>0</v>
      </c>
      <c r="AC72" s="106">
        <v>0</v>
      </c>
      <c r="AD72" s="107">
        <v>0</v>
      </c>
      <c r="AF72" s="94">
        <f>0.17172*AG16</f>
        <v>0.17161381960187105</v>
      </c>
      <c r="AG72" s="76">
        <f t="shared" si="36"/>
        <v>-6.789618594884976E-2</v>
      </c>
      <c r="AJ72" s="108">
        <f t="shared" si="37"/>
        <v>-0.39563355740442663</v>
      </c>
      <c r="AK72" s="106">
        <v>1</v>
      </c>
      <c r="AL72" s="106">
        <v>0</v>
      </c>
      <c r="AM72" s="106">
        <v>0</v>
      </c>
      <c r="AN72" s="107">
        <v>0</v>
      </c>
      <c r="AP72" s="94">
        <f>0.17172*AQ16</f>
        <v>0.17161373214746745</v>
      </c>
      <c r="AQ72" s="76">
        <f t="shared" si="38"/>
        <v>-8.7311654714782513E-2</v>
      </c>
      <c r="AT72" s="108">
        <f t="shared" si="39"/>
        <v>-0.50876846288591715</v>
      </c>
      <c r="AU72" s="106">
        <v>1</v>
      </c>
      <c r="AV72" s="106">
        <v>0</v>
      </c>
      <c r="AW72" s="106">
        <v>0</v>
      </c>
      <c r="AX72" s="107">
        <v>0</v>
      </c>
    </row>
    <row r="73" spans="2:50" x14ac:dyDescent="0.2">
      <c r="B73" s="94">
        <f>-0.01183*C16</f>
        <v>-1.1822703177495633E-2</v>
      </c>
      <c r="C73" s="76">
        <f t="shared" si="30"/>
        <v>1.1388692606611215E-2</v>
      </c>
      <c r="F73" s="108">
        <f t="shared" si="31"/>
        <v>-0.96329007297497304</v>
      </c>
      <c r="G73" s="106">
        <v>1</v>
      </c>
      <c r="H73" s="106">
        <v>1</v>
      </c>
      <c r="I73" s="106">
        <v>0</v>
      </c>
      <c r="J73" s="107">
        <v>0</v>
      </c>
      <c r="L73" s="94">
        <f>-0.01183*M16</f>
        <v>-1.1822697152676682E-2</v>
      </c>
      <c r="M73" s="76">
        <f t="shared" si="32"/>
        <v>-5.7864295602614692E-3</v>
      </c>
      <c r="P73" s="108">
        <f t="shared" si="33"/>
        <v>0.48943396633917924</v>
      </c>
      <c r="Q73" s="106">
        <v>1</v>
      </c>
      <c r="R73" s="106">
        <v>1</v>
      </c>
      <c r="S73" s="106">
        <v>0</v>
      </c>
      <c r="T73" s="107">
        <v>0</v>
      </c>
      <c r="V73" s="94">
        <f>-0.01183*W16</f>
        <v>-1.1822691127850581E-2</v>
      </c>
      <c r="W73" s="76">
        <f t="shared" si="34"/>
        <v>-8.6417885035988875E-3</v>
      </c>
      <c r="Z73" s="108">
        <f t="shared" si="35"/>
        <v>0.730949359172678</v>
      </c>
      <c r="AA73" s="106">
        <v>1</v>
      </c>
      <c r="AB73" s="106">
        <v>1</v>
      </c>
      <c r="AC73" s="106">
        <v>0</v>
      </c>
      <c r="AD73" s="107">
        <v>0</v>
      </c>
      <c r="AF73" s="94">
        <f>-0.01183*AG16</f>
        <v>-1.1822685103017322E-2</v>
      </c>
      <c r="AG73" s="76">
        <f t="shared" si="36"/>
        <v>9.8887917541237297E-3</v>
      </c>
      <c r="AJ73" s="108">
        <f t="shared" si="37"/>
        <v>-0.836425200194156</v>
      </c>
      <c r="AK73" s="106">
        <v>1</v>
      </c>
      <c r="AL73" s="106">
        <v>1</v>
      </c>
      <c r="AM73" s="106">
        <v>0</v>
      </c>
      <c r="AN73" s="107">
        <v>0</v>
      </c>
      <c r="AP73" s="94">
        <f>-0.01183*AQ16</f>
        <v>-1.1822679078176914E-2</v>
      </c>
      <c r="AQ73" s="76">
        <f t="shared" si="38"/>
        <v>3.9474431311395273E-3</v>
      </c>
      <c r="AT73" s="108">
        <f t="shared" si="39"/>
        <v>-0.33388736216531328</v>
      </c>
      <c r="AU73" s="106">
        <v>1</v>
      </c>
      <c r="AV73" s="106">
        <v>1</v>
      </c>
      <c r="AW73" s="106">
        <v>0</v>
      </c>
      <c r="AX73" s="107">
        <v>0</v>
      </c>
    </row>
    <row r="74" spans="2:50" x14ac:dyDescent="0.2">
      <c r="B74" s="94">
        <v>8.6199999999999992E-3</v>
      </c>
      <c r="C74" s="76">
        <f t="shared" si="30"/>
        <v>-4.0724156231449257E-3</v>
      </c>
      <c r="F74" s="108">
        <f t="shared" si="31"/>
        <v>-0.47243800732539742</v>
      </c>
      <c r="G74" s="106">
        <v>0</v>
      </c>
      <c r="H74" s="106">
        <v>2</v>
      </c>
      <c r="I74" s="106">
        <v>0</v>
      </c>
      <c r="J74" s="107">
        <v>0</v>
      </c>
      <c r="L74" s="94">
        <v>8.6199999999999992E-3</v>
      </c>
      <c r="M74" s="76">
        <f t="shared" si="32"/>
        <v>5.6667037894604063E-3</v>
      </c>
      <c r="P74" s="108">
        <f t="shared" si="33"/>
        <v>0.65739023079587089</v>
      </c>
      <c r="Q74" s="106">
        <v>0</v>
      </c>
      <c r="R74" s="106">
        <v>2</v>
      </c>
      <c r="S74" s="106">
        <v>0</v>
      </c>
      <c r="T74" s="107">
        <v>0</v>
      </c>
      <c r="V74" s="94">
        <v>8.6199999999999992E-3</v>
      </c>
      <c r="W74" s="76">
        <f t="shared" si="34"/>
        <v>-6.9745761367241161E-3</v>
      </c>
      <c r="Z74" s="108">
        <f t="shared" si="35"/>
        <v>-0.80911556110488592</v>
      </c>
      <c r="AA74" s="106">
        <v>0</v>
      </c>
      <c r="AB74" s="106">
        <v>2</v>
      </c>
      <c r="AC74" s="106">
        <v>0</v>
      </c>
      <c r="AD74" s="107">
        <v>0</v>
      </c>
      <c r="AF74" s="94">
        <v>8.6199999999999992E-3</v>
      </c>
      <c r="AG74" s="76">
        <f t="shared" si="36"/>
        <v>7.9299280396537709E-3</v>
      </c>
      <c r="AJ74" s="108">
        <f t="shared" si="37"/>
        <v>0.91994524821969514</v>
      </c>
      <c r="AK74" s="106">
        <v>0</v>
      </c>
      <c r="AL74" s="106">
        <v>2</v>
      </c>
      <c r="AM74" s="106">
        <v>0</v>
      </c>
      <c r="AN74" s="107">
        <v>0</v>
      </c>
      <c r="AP74" s="94">
        <v>8.6199999999999992E-3</v>
      </c>
      <c r="AQ74" s="76">
        <f t="shared" si="38"/>
        <v>-8.4844725383022151E-3</v>
      </c>
      <c r="AT74" s="108">
        <f t="shared" si="39"/>
        <v>-0.98427755664758887</v>
      </c>
      <c r="AU74" s="106">
        <v>0</v>
      </c>
      <c r="AV74" s="106">
        <v>2</v>
      </c>
      <c r="AW74" s="106">
        <v>0</v>
      </c>
      <c r="AX74" s="107">
        <v>0</v>
      </c>
    </row>
    <row r="75" spans="2:50" x14ac:dyDescent="0.2">
      <c r="B75" s="94">
        <v>8.0400000000000003E-3</v>
      </c>
      <c r="C75" s="76">
        <f t="shared" si="30"/>
        <v>-1.0836542374909732E-3</v>
      </c>
      <c r="F75" s="108">
        <f t="shared" si="31"/>
        <v>-0.13478286535957376</v>
      </c>
      <c r="G75" s="106">
        <v>0</v>
      </c>
      <c r="H75" s="106">
        <v>0</v>
      </c>
      <c r="I75" s="106">
        <v>2</v>
      </c>
      <c r="J75" s="107">
        <v>0</v>
      </c>
      <c r="L75" s="94">
        <v>8.0400000000000003E-3</v>
      </c>
      <c r="M75" s="76">
        <f t="shared" si="32"/>
        <v>3.1519785485287386E-3</v>
      </c>
      <c r="P75" s="108">
        <f t="shared" si="33"/>
        <v>0.39203713290158437</v>
      </c>
      <c r="Q75" s="106">
        <v>0</v>
      </c>
      <c r="R75" s="106">
        <v>0</v>
      </c>
      <c r="S75" s="106">
        <v>2</v>
      </c>
      <c r="T75" s="107">
        <v>0</v>
      </c>
      <c r="V75" s="94">
        <v>8.0400000000000003E-3</v>
      </c>
      <c r="W75" s="76">
        <f t="shared" si="34"/>
        <v>-4.9958497664620988E-3</v>
      </c>
      <c r="Z75" s="108">
        <f t="shared" si="35"/>
        <v>-0.62137434906245004</v>
      </c>
      <c r="AA75" s="106">
        <v>0</v>
      </c>
      <c r="AB75" s="106">
        <v>0</v>
      </c>
      <c r="AC75" s="106">
        <v>2</v>
      </c>
      <c r="AD75" s="107">
        <v>0</v>
      </c>
      <c r="AF75" s="94">
        <v>8.0400000000000003E-3</v>
      </c>
      <c r="AG75" s="76">
        <f t="shared" si="36"/>
        <v>6.4839654120090072E-3</v>
      </c>
      <c r="AJ75" s="108">
        <f t="shared" si="37"/>
        <v>0.80646335970261285</v>
      </c>
      <c r="AK75" s="106">
        <v>0</v>
      </c>
      <c r="AL75" s="106">
        <v>0</v>
      </c>
      <c r="AM75" s="106">
        <v>2</v>
      </c>
      <c r="AN75" s="107">
        <v>0</v>
      </c>
      <c r="AP75" s="94">
        <v>8.0400000000000003E-3</v>
      </c>
      <c r="AQ75" s="76">
        <f t="shared" si="38"/>
        <v>-7.5103564392956746E-3</v>
      </c>
      <c r="AT75" s="108">
        <f t="shared" si="39"/>
        <v>-0.93412393523578041</v>
      </c>
      <c r="AU75" s="106">
        <v>0</v>
      </c>
      <c r="AV75" s="106">
        <v>0</v>
      </c>
      <c r="AW75" s="106">
        <v>2</v>
      </c>
      <c r="AX75" s="107">
        <v>0</v>
      </c>
    </row>
    <row r="76" spans="2:50" x14ac:dyDescent="0.2">
      <c r="B76" s="94">
        <f>0.00454*C16</f>
        <v>4.5371996978723723E-3</v>
      </c>
      <c r="C76" s="76">
        <f t="shared" si="30"/>
        <v>-4.4275859152771704E-3</v>
      </c>
      <c r="F76" s="108">
        <f t="shared" si="31"/>
        <v>-0.9758410936493267</v>
      </c>
      <c r="G76" s="106">
        <v>-1</v>
      </c>
      <c r="H76" s="106">
        <v>1</v>
      </c>
      <c r="I76" s="106">
        <v>0</v>
      </c>
      <c r="J76" s="107">
        <v>0</v>
      </c>
      <c r="L76" s="94">
        <f>0.00454*M16</f>
        <v>4.5371973857271462E-3</v>
      </c>
      <c r="M76" s="76">
        <f t="shared" si="32"/>
        <v>9.2766490949510783E-4</v>
      </c>
      <c r="P76" s="108">
        <f t="shared" si="33"/>
        <v>0.2044576928509442</v>
      </c>
      <c r="Q76" s="106">
        <v>-1</v>
      </c>
      <c r="R76" s="106">
        <v>1</v>
      </c>
      <c r="S76" s="106">
        <v>0</v>
      </c>
      <c r="T76" s="107">
        <v>0</v>
      </c>
      <c r="V76" s="94">
        <f>0.00454*W16</f>
        <v>4.5371950735791739E-3</v>
      </c>
      <c r="W76" s="76">
        <f t="shared" si="34"/>
        <v>4.454201539368899E-3</v>
      </c>
      <c r="Z76" s="108">
        <f t="shared" si="35"/>
        <v>0.98170818471227739</v>
      </c>
      <c r="AA76" s="106">
        <v>-1</v>
      </c>
      <c r="AB76" s="106">
        <v>1</v>
      </c>
      <c r="AC76" s="106">
        <v>0</v>
      </c>
      <c r="AD76" s="107">
        <v>0</v>
      </c>
      <c r="AF76" s="94">
        <f>0.00454*AG16</f>
        <v>4.5371927614284565E-3</v>
      </c>
      <c r="AG76" s="76">
        <f t="shared" si="36"/>
        <v>-7.9984684775904092E-4</v>
      </c>
      <c r="AJ76" s="108">
        <f t="shared" si="37"/>
        <v>-0.17628672393174299</v>
      </c>
      <c r="AK76" s="106">
        <v>-1</v>
      </c>
      <c r="AL76" s="106">
        <v>1</v>
      </c>
      <c r="AM76" s="106">
        <v>0</v>
      </c>
      <c r="AN76" s="107">
        <v>0</v>
      </c>
      <c r="AP76" s="94">
        <f>0.00454*AQ16</f>
        <v>4.5371904492749948E-3</v>
      </c>
      <c r="AQ76" s="76">
        <f t="shared" si="38"/>
        <v>-4.4771492878506415E-3</v>
      </c>
      <c r="AT76" s="108">
        <f t="shared" si="39"/>
        <v>-0.98676688534554513</v>
      </c>
      <c r="AU76" s="106">
        <v>-1</v>
      </c>
      <c r="AV76" s="106">
        <v>1</v>
      </c>
      <c r="AW76" s="106">
        <v>0</v>
      </c>
      <c r="AX76" s="107">
        <v>0</v>
      </c>
    </row>
    <row r="77" spans="2:50" x14ac:dyDescent="0.2">
      <c r="B77" s="94">
        <f>0.00204*POWER(C16,2)</f>
        <v>2.0374842050438213E-3</v>
      </c>
      <c r="C77" s="76">
        <f t="shared" si="30"/>
        <v>1.0496285938798137E-4</v>
      </c>
      <c r="F77" s="108">
        <f t="shared" si="31"/>
        <v>5.1515913167888276E-2</v>
      </c>
      <c r="G77" s="106">
        <v>2</v>
      </c>
      <c r="H77" s="106">
        <v>0</v>
      </c>
      <c r="I77" s="106">
        <v>0</v>
      </c>
      <c r="J77" s="107">
        <v>0</v>
      </c>
      <c r="L77" s="94">
        <f>0.00204*POWER(M16,2)</f>
        <v>2.0374821284509922E-3</v>
      </c>
      <c r="M77" s="76">
        <f t="shared" si="32"/>
        <v>6.1287362568084979E-4</v>
      </c>
      <c r="P77" s="108">
        <f t="shared" si="33"/>
        <v>0.30079950990627369</v>
      </c>
      <c r="Q77" s="106">
        <v>2</v>
      </c>
      <c r="R77" s="106">
        <v>0</v>
      </c>
      <c r="S77" s="106">
        <v>0</v>
      </c>
      <c r="T77" s="107">
        <v>0</v>
      </c>
      <c r="V77" s="94">
        <f>0.00204*POWER(W16,2)</f>
        <v>2.0374800518567558E-3</v>
      </c>
      <c r="W77" s="76">
        <f t="shared" si="34"/>
        <v>1.0814577834749506E-3</v>
      </c>
      <c r="Z77" s="108">
        <f t="shared" si="35"/>
        <v>0.53078202286663767</v>
      </c>
      <c r="AA77" s="106">
        <v>2</v>
      </c>
      <c r="AB77" s="106">
        <v>0</v>
      </c>
      <c r="AC77" s="106">
        <v>0</v>
      </c>
      <c r="AD77" s="107">
        <v>0</v>
      </c>
      <c r="AF77" s="94">
        <f>0.00204*POWER(AG16,2)</f>
        <v>2.0374779752611112E-3</v>
      </c>
      <c r="AG77" s="76">
        <f t="shared" si="36"/>
        <v>1.4806482998837849E-3</v>
      </c>
      <c r="AJ77" s="108">
        <f t="shared" si="37"/>
        <v>0.72670640755958782</v>
      </c>
      <c r="AK77" s="106">
        <v>2</v>
      </c>
      <c r="AL77" s="106">
        <v>0</v>
      </c>
      <c r="AM77" s="106">
        <v>0</v>
      </c>
      <c r="AN77" s="107">
        <v>0</v>
      </c>
      <c r="AP77" s="94">
        <f>0.00204*POWER(AQ16,2)</f>
        <v>2.0374758986640607E-3</v>
      </c>
      <c r="AQ77" s="76">
        <f t="shared" si="38"/>
        <v>1.7848309071104163E-3</v>
      </c>
      <c r="AT77" s="108">
        <f t="shared" si="39"/>
        <v>0.87600099136421716</v>
      </c>
      <c r="AU77" s="106">
        <v>2</v>
      </c>
      <c r="AV77" s="106">
        <v>0</v>
      </c>
      <c r="AW77" s="106">
        <v>0</v>
      </c>
      <c r="AX77" s="107">
        <v>0</v>
      </c>
    </row>
    <row r="78" spans="2:50" x14ac:dyDescent="0.2">
      <c r="B78" s="94">
        <v>-1.8E-3</v>
      </c>
      <c r="C78" s="76">
        <f t="shared" si="30"/>
        <v>1.7889557282088787E-3</v>
      </c>
      <c r="F78" s="108">
        <f t="shared" si="31"/>
        <v>-0.9938642934493771</v>
      </c>
      <c r="G78" s="106">
        <v>0</v>
      </c>
      <c r="H78" s="106">
        <v>1</v>
      </c>
      <c r="I78" s="106">
        <v>-2</v>
      </c>
      <c r="J78" s="107">
        <v>0</v>
      </c>
      <c r="L78" s="94">
        <v>-1.8E-3</v>
      </c>
      <c r="M78" s="76">
        <f t="shared" si="32"/>
        <v>-7.9479868064507309E-5</v>
      </c>
      <c r="P78" s="108">
        <f t="shared" si="33"/>
        <v>4.4155482258059618E-2</v>
      </c>
      <c r="Q78" s="106">
        <v>0</v>
      </c>
      <c r="R78" s="106">
        <v>1</v>
      </c>
      <c r="S78" s="106">
        <v>-2</v>
      </c>
      <c r="T78" s="107">
        <v>0</v>
      </c>
      <c r="V78" s="94">
        <v>-1.8E-3</v>
      </c>
      <c r="W78" s="76">
        <f t="shared" si="34"/>
        <v>-1.7644150414575057E-3</v>
      </c>
      <c r="Z78" s="108">
        <f t="shared" si="35"/>
        <v>0.98023057858750318</v>
      </c>
      <c r="AA78" s="106">
        <v>0</v>
      </c>
      <c r="AB78" s="106">
        <v>1</v>
      </c>
      <c r="AC78" s="106">
        <v>-2</v>
      </c>
      <c r="AD78" s="107">
        <v>0</v>
      </c>
      <c r="AF78" s="94">
        <v>-1.8E-3</v>
      </c>
      <c r="AG78" s="76">
        <f t="shared" si="36"/>
        <v>6.2427137175360178E-4</v>
      </c>
      <c r="AJ78" s="108">
        <f t="shared" si="37"/>
        <v>-0.346817428752001</v>
      </c>
      <c r="AK78" s="106">
        <v>0</v>
      </c>
      <c r="AL78" s="106">
        <v>1</v>
      </c>
      <c r="AM78" s="106">
        <v>-2</v>
      </c>
      <c r="AN78" s="107">
        <v>0</v>
      </c>
      <c r="AP78" s="94">
        <v>-1.8E-3</v>
      </c>
      <c r="AQ78" s="76">
        <f t="shared" si="38"/>
        <v>1.5716612214757399E-3</v>
      </c>
      <c r="AT78" s="108">
        <f t="shared" si="39"/>
        <v>-0.8731451230420777</v>
      </c>
      <c r="AU78" s="106">
        <v>0</v>
      </c>
      <c r="AV78" s="106">
        <v>1</v>
      </c>
      <c r="AW78" s="106">
        <v>-2</v>
      </c>
      <c r="AX78" s="107">
        <v>0</v>
      </c>
    </row>
    <row r="79" spans="2:50" x14ac:dyDescent="0.2">
      <c r="B79" s="94">
        <v>-6.9999999999999999E-4</v>
      </c>
      <c r="C79" s="76">
        <f t="shared" si="30"/>
        <v>6.4974753162486858E-4</v>
      </c>
      <c r="F79" s="108">
        <f t="shared" si="31"/>
        <v>-0.92821075946409803</v>
      </c>
      <c r="G79" s="106">
        <v>0</v>
      </c>
      <c r="H79" s="106">
        <v>1</v>
      </c>
      <c r="I79" s="106">
        <v>2</v>
      </c>
      <c r="J79" s="107">
        <v>0</v>
      </c>
      <c r="L79" s="94">
        <v>-6.9999999999999999E-4</v>
      </c>
      <c r="M79" s="76">
        <f t="shared" si="32"/>
        <v>4.8301570579843515E-4</v>
      </c>
      <c r="P79" s="108">
        <f t="shared" si="33"/>
        <v>-0.69002243685490738</v>
      </c>
      <c r="Q79" s="106">
        <v>0</v>
      </c>
      <c r="R79" s="106">
        <v>1</v>
      </c>
      <c r="S79" s="106">
        <v>2</v>
      </c>
      <c r="T79" s="107">
        <v>0</v>
      </c>
      <c r="V79" s="94">
        <v>-6.9999999999999999E-4</v>
      </c>
      <c r="W79" s="76">
        <f t="shared" si="34"/>
        <v>-2.9115913753243573E-4</v>
      </c>
      <c r="Z79" s="108">
        <f t="shared" si="35"/>
        <v>0.41594162504633675</v>
      </c>
      <c r="AA79" s="106">
        <v>0</v>
      </c>
      <c r="AB79" s="106">
        <v>1</v>
      </c>
      <c r="AC79" s="106">
        <v>2</v>
      </c>
      <c r="AD79" s="107">
        <v>0</v>
      </c>
      <c r="AF79" s="94">
        <v>-6.9999999999999999E-4</v>
      </c>
      <c r="AG79" s="76">
        <f t="shared" si="36"/>
        <v>-6.9917076307865911E-4</v>
      </c>
      <c r="AJ79" s="108">
        <f t="shared" si="37"/>
        <v>0.99881537582665592</v>
      </c>
      <c r="AK79" s="106">
        <v>0</v>
      </c>
      <c r="AL79" s="106">
        <v>1</v>
      </c>
      <c r="AM79" s="106">
        <v>2</v>
      </c>
      <c r="AN79" s="107">
        <v>0</v>
      </c>
      <c r="AP79" s="94">
        <v>-6.9999999999999999E-4</v>
      </c>
      <c r="AQ79" s="76">
        <f t="shared" si="38"/>
        <v>-2.2790166759425803E-4</v>
      </c>
      <c r="AT79" s="108">
        <f t="shared" si="39"/>
        <v>0.32557381084894005</v>
      </c>
      <c r="AU79" s="106">
        <v>0</v>
      </c>
      <c r="AV79" s="106">
        <v>1</v>
      </c>
      <c r="AW79" s="106">
        <v>2</v>
      </c>
      <c r="AX79" s="107">
        <v>0</v>
      </c>
    </row>
    <row r="80" spans="2:50" x14ac:dyDescent="0.2">
      <c r="B80" s="94">
        <v>-4.0000000000000002E-4</v>
      </c>
      <c r="C80" s="76">
        <f t="shared" si="30"/>
        <v>2.9590409554411623E-4</v>
      </c>
      <c r="F80" s="108">
        <f t="shared" si="31"/>
        <v>-0.73976023886029052</v>
      </c>
      <c r="G80" s="106">
        <v>0</v>
      </c>
      <c r="H80" s="106">
        <v>3</v>
      </c>
      <c r="I80" s="106">
        <v>0</v>
      </c>
      <c r="J80" s="107">
        <v>0</v>
      </c>
      <c r="L80" s="94">
        <v>-4.0000000000000002E-4</v>
      </c>
      <c r="M80" s="76">
        <f t="shared" si="32"/>
        <v>3.520309848694375E-4</v>
      </c>
      <c r="P80" s="108">
        <f t="shared" si="33"/>
        <v>-0.88007746217359373</v>
      </c>
      <c r="Q80" s="106">
        <v>0</v>
      </c>
      <c r="R80" s="106">
        <v>3</v>
      </c>
      <c r="S80" s="106">
        <v>0</v>
      </c>
      <c r="T80" s="107">
        <v>0</v>
      </c>
      <c r="V80" s="94">
        <v>-4.0000000000000002E-4</v>
      </c>
      <c r="W80" s="76">
        <f t="shared" si="34"/>
        <v>-6.2474396261526818E-5</v>
      </c>
      <c r="Z80" s="108">
        <f t="shared" si="35"/>
        <v>0.15618599065381705</v>
      </c>
      <c r="AA80" s="106">
        <v>0</v>
      </c>
      <c r="AB80" s="106">
        <v>3</v>
      </c>
      <c r="AC80" s="106">
        <v>0</v>
      </c>
      <c r="AD80" s="107">
        <v>0</v>
      </c>
      <c r="AF80" s="94">
        <v>-4.0000000000000002E-4</v>
      </c>
      <c r="AG80" s="76">
        <f t="shared" si="36"/>
        <v>-3.9345739378968472E-4</v>
      </c>
      <c r="AJ80" s="108">
        <f t="shared" si="37"/>
        <v>0.98364348447421179</v>
      </c>
      <c r="AK80" s="106">
        <v>0</v>
      </c>
      <c r="AL80" s="106">
        <v>3</v>
      </c>
      <c r="AM80" s="106">
        <v>0</v>
      </c>
      <c r="AN80" s="107">
        <v>0</v>
      </c>
      <c r="AP80" s="94">
        <v>-4.0000000000000002E-4</v>
      </c>
      <c r="AQ80" s="76">
        <f t="shared" si="38"/>
        <v>-1.9842491397754143E-4</v>
      </c>
      <c r="AT80" s="108">
        <f t="shared" si="39"/>
        <v>0.49606228494385357</v>
      </c>
      <c r="AU80" s="106">
        <v>0</v>
      </c>
      <c r="AV80" s="106">
        <v>3</v>
      </c>
      <c r="AW80" s="106">
        <v>0</v>
      </c>
      <c r="AX80" s="107">
        <v>0</v>
      </c>
    </row>
    <row r="81" spans="2:50" x14ac:dyDescent="0.2">
      <c r="B81" s="94">
        <f>-0.00034*C16</f>
        <v>-3.3979028574374602E-4</v>
      </c>
      <c r="C81" s="76">
        <f t="shared" si="30"/>
        <v>-1.5276002143843465E-4</v>
      </c>
      <c r="F81" s="108">
        <f t="shared" si="31"/>
        <v>0.44957147937313058</v>
      </c>
      <c r="G81" s="106">
        <v>-1</v>
      </c>
      <c r="H81" s="106">
        <v>2</v>
      </c>
      <c r="I81" s="106">
        <v>0</v>
      </c>
      <c r="J81" s="107">
        <v>0</v>
      </c>
      <c r="L81" s="94">
        <f>-0.00034*M16</f>
        <v>-3.3979011258749556E-4</v>
      </c>
      <c r="M81" s="76">
        <f t="shared" si="32"/>
        <v>1.8180982051953473E-4</v>
      </c>
      <c r="P81" s="108">
        <f t="shared" si="33"/>
        <v>-0.53506507041966656</v>
      </c>
      <c r="Q81" s="106">
        <v>-1</v>
      </c>
      <c r="R81" s="106">
        <v>2</v>
      </c>
      <c r="S81" s="106">
        <v>0</v>
      </c>
      <c r="T81" s="107">
        <v>0</v>
      </c>
      <c r="V81" s="94">
        <f>-0.00034*W16</f>
        <v>-3.3978993943103953E-4</v>
      </c>
      <c r="W81" s="76">
        <f t="shared" si="34"/>
        <v>-2.0910422453036473E-4</v>
      </c>
      <c r="Z81" s="108">
        <f t="shared" si="35"/>
        <v>0.61539263016585721</v>
      </c>
      <c r="AA81" s="106">
        <v>-1</v>
      </c>
      <c r="AB81" s="106">
        <v>2</v>
      </c>
      <c r="AC81" s="106">
        <v>0</v>
      </c>
      <c r="AD81" s="107">
        <v>0</v>
      </c>
      <c r="AF81" s="94">
        <f>-0.00034*AG16</f>
        <v>-3.3978976627437784E-4</v>
      </c>
      <c r="AG81" s="76">
        <f t="shared" si="36"/>
        <v>2.3437970904028395E-4</v>
      </c>
      <c r="AJ81" s="108">
        <f t="shared" si="37"/>
        <v>-0.68977859930903274</v>
      </c>
      <c r="AK81" s="106">
        <v>-1</v>
      </c>
      <c r="AL81" s="106">
        <v>2</v>
      </c>
      <c r="AM81" s="106">
        <v>0</v>
      </c>
      <c r="AN81" s="107">
        <v>0</v>
      </c>
      <c r="AP81" s="94">
        <f>-0.00034*AQ16</f>
        <v>-3.3978959311751063E-4</v>
      </c>
      <c r="AQ81" s="76">
        <f t="shared" si="38"/>
        <v>-2.5739224246197032E-4</v>
      </c>
      <c r="AT81" s="108">
        <f t="shared" si="39"/>
        <v>0.7575047843591709</v>
      </c>
      <c r="AU81" s="106">
        <v>-1</v>
      </c>
      <c r="AV81" s="106">
        <v>2</v>
      </c>
      <c r="AW81" s="106">
        <v>0</v>
      </c>
      <c r="AX81" s="107">
        <v>0</v>
      </c>
    </row>
    <row r="82" spans="2:50" x14ac:dyDescent="0.2">
      <c r="B82" s="94">
        <f>0.00032*C16</f>
        <v>3.1980262187646682E-4</v>
      </c>
      <c r="C82" s="76">
        <f t="shared" si="30"/>
        <v>5.1254610113347506E-5</v>
      </c>
      <c r="F82" s="108">
        <f t="shared" si="31"/>
        <v>0.16026951190270763</v>
      </c>
      <c r="G82" s="106">
        <v>1</v>
      </c>
      <c r="H82" s="106">
        <v>0</v>
      </c>
      <c r="I82" s="106">
        <v>2</v>
      </c>
      <c r="J82" s="107">
        <v>0</v>
      </c>
      <c r="L82" s="94">
        <f>0.00032*M16</f>
        <v>3.1980245890587814E-4</v>
      </c>
      <c r="M82" s="76">
        <f t="shared" si="32"/>
        <v>-1.6868363496966589E-4</v>
      </c>
      <c r="P82" s="108">
        <f t="shared" si="33"/>
        <v>-0.5274619699509927</v>
      </c>
      <c r="Q82" s="106">
        <v>1</v>
      </c>
      <c r="R82" s="106">
        <v>0</v>
      </c>
      <c r="S82" s="106">
        <v>2</v>
      </c>
      <c r="T82" s="107">
        <v>0</v>
      </c>
      <c r="V82" s="94">
        <f>0.00032*W16</f>
        <v>3.1980229593509603E-4</v>
      </c>
      <c r="W82" s="76">
        <f t="shared" si="34"/>
        <v>2.6017996127707278E-4</v>
      </c>
      <c r="Z82" s="108">
        <f t="shared" si="35"/>
        <v>0.81356501996432307</v>
      </c>
      <c r="AA82" s="106">
        <v>1</v>
      </c>
      <c r="AB82" s="106">
        <v>0</v>
      </c>
      <c r="AC82" s="106">
        <v>2</v>
      </c>
      <c r="AD82" s="107">
        <v>0</v>
      </c>
      <c r="AF82" s="94">
        <f>0.00032*AG16</f>
        <v>3.1980213296412029E-4</v>
      </c>
      <c r="AG82" s="76">
        <f t="shared" si="36"/>
        <v>-3.116774276105075E-4</v>
      </c>
      <c r="AJ82" s="108">
        <f t="shared" si="37"/>
        <v>-0.97459458672677357</v>
      </c>
      <c r="AK82" s="106">
        <v>1</v>
      </c>
      <c r="AL82" s="106">
        <v>0</v>
      </c>
      <c r="AM82" s="106">
        <v>2</v>
      </c>
      <c r="AN82" s="107">
        <v>0</v>
      </c>
      <c r="AP82" s="94">
        <f>0.00032*AQ16</f>
        <v>3.1980196999295118E-4</v>
      </c>
      <c r="AQ82" s="76">
        <f t="shared" si="38"/>
        <v>3.152591116777111E-4</v>
      </c>
      <c r="AT82" s="108">
        <f t="shared" si="39"/>
        <v>0.98579477695106066</v>
      </c>
      <c r="AU82" s="106">
        <v>1</v>
      </c>
      <c r="AV82" s="106">
        <v>0</v>
      </c>
      <c r="AW82" s="106">
        <v>2</v>
      </c>
      <c r="AX82" s="107">
        <v>0</v>
      </c>
    </row>
    <row r="83" spans="2:50" x14ac:dyDescent="0.2">
      <c r="B83" s="94">
        <f>0.00032*C16</f>
        <v>3.1980262187646682E-4</v>
      </c>
      <c r="C83" s="76">
        <f t="shared" si="30"/>
        <v>-3.4924595333933152E-5</v>
      </c>
      <c r="F83" s="108">
        <f t="shared" si="31"/>
        <v>-0.10920671984804367</v>
      </c>
      <c r="G83" s="106">
        <v>1</v>
      </c>
      <c r="H83" s="106">
        <v>0</v>
      </c>
      <c r="I83" s="106">
        <v>-2</v>
      </c>
      <c r="J83" s="107">
        <v>0</v>
      </c>
      <c r="L83" s="94">
        <f>0.00032*M16</f>
        <v>3.1980245890587814E-4</v>
      </c>
      <c r="M83" s="76">
        <f t="shared" si="32"/>
        <v>7.9145030661125347E-5</v>
      </c>
      <c r="P83" s="108">
        <f t="shared" si="33"/>
        <v>0.24748099477377289</v>
      </c>
      <c r="Q83" s="106">
        <v>1</v>
      </c>
      <c r="R83" s="106">
        <v>0</v>
      </c>
      <c r="S83" s="106">
        <v>-2</v>
      </c>
      <c r="T83" s="107">
        <v>0</v>
      </c>
      <c r="V83" s="94">
        <f>0.00032*W16</f>
        <v>3.1980229593509603E-4</v>
      </c>
      <c r="W83" s="76">
        <f t="shared" si="34"/>
        <v>-1.2180221977092135E-4</v>
      </c>
      <c r="Z83" s="108">
        <f t="shared" si="35"/>
        <v>-0.38086724616774215</v>
      </c>
      <c r="AA83" s="106">
        <v>1</v>
      </c>
      <c r="AB83" s="106">
        <v>0</v>
      </c>
      <c r="AC83" s="106">
        <v>-2</v>
      </c>
      <c r="AD83" s="107">
        <v>0</v>
      </c>
      <c r="AF83" s="94">
        <f>0.00032*AG16</f>
        <v>3.1980213296412029E-4</v>
      </c>
      <c r="AG83" s="76">
        <f t="shared" si="36"/>
        <v>1.6205363799312662E-4</v>
      </c>
      <c r="AJ83" s="108">
        <f t="shared" si="37"/>
        <v>0.50673094794933082</v>
      </c>
      <c r="AK83" s="106">
        <v>1</v>
      </c>
      <c r="AL83" s="106">
        <v>0</v>
      </c>
      <c r="AM83" s="106">
        <v>-2</v>
      </c>
      <c r="AN83" s="107">
        <v>0</v>
      </c>
      <c r="AP83" s="94">
        <f>0.00032*AQ16</f>
        <v>3.1980196999295118E-4</v>
      </c>
      <c r="AQ83" s="76">
        <f t="shared" si="38"/>
        <v>-1.9910427813007501E-4</v>
      </c>
      <c r="AT83" s="108">
        <f t="shared" si="39"/>
        <v>-0.62258615271964557</v>
      </c>
      <c r="AU83" s="106">
        <v>1</v>
      </c>
      <c r="AV83" s="106">
        <v>0</v>
      </c>
      <c r="AW83" s="106">
        <v>-2</v>
      </c>
      <c r="AX83" s="107">
        <v>0</v>
      </c>
    </row>
    <row r="84" spans="2:50" x14ac:dyDescent="0.2">
      <c r="B84" s="94">
        <f>-0.00028*POWER(C16,2)</f>
        <v>-2.7965469480993626E-4</v>
      </c>
      <c r="C84" s="76">
        <f t="shared" si="30"/>
        <v>-2.6736468240389568E-4</v>
      </c>
      <c r="F84" s="108">
        <f t="shared" si="31"/>
        <v>0.95605290154562461</v>
      </c>
      <c r="G84" s="106">
        <v>2</v>
      </c>
      <c r="H84" s="106">
        <v>1</v>
      </c>
      <c r="I84" s="106">
        <v>0</v>
      </c>
      <c r="J84" s="107">
        <v>0</v>
      </c>
      <c r="L84" s="94">
        <f>-0.00028*POWER(M16,2)</f>
        <v>-2.7965440978739103E-4</v>
      </c>
      <c r="M84" s="76">
        <f t="shared" si="32"/>
        <v>1.7238851800071867E-4</v>
      </c>
      <c r="P84" s="108">
        <f t="shared" si="33"/>
        <v>-0.6164341128458446</v>
      </c>
      <c r="Q84" s="106">
        <v>2</v>
      </c>
      <c r="R84" s="106">
        <v>1</v>
      </c>
      <c r="S84" s="106">
        <v>0</v>
      </c>
      <c r="T84" s="107">
        <v>0</v>
      </c>
      <c r="V84" s="94">
        <f>-0.00028*POWER(W16,2)</f>
        <v>-2.7965412476465271E-4</v>
      </c>
      <c r="W84" s="76">
        <f t="shared" si="34"/>
        <v>1.4376838761010212E-4</v>
      </c>
      <c r="Z84" s="108">
        <f t="shared" si="35"/>
        <v>-0.51409357087471053</v>
      </c>
      <c r="AA84" s="106">
        <v>2</v>
      </c>
      <c r="AB84" s="106">
        <v>1</v>
      </c>
      <c r="AC84" s="106">
        <v>0</v>
      </c>
      <c r="AD84" s="107">
        <v>0</v>
      </c>
      <c r="AF84" s="94">
        <f>-0.00028*POWER(AG16,2)</f>
        <v>-2.7965383974172108E-4</v>
      </c>
      <c r="AG84" s="76">
        <f t="shared" si="36"/>
        <v>-2.7546441478341915E-4</v>
      </c>
      <c r="AJ84" s="108">
        <f t="shared" si="37"/>
        <v>0.98501924750194325</v>
      </c>
      <c r="AK84" s="106">
        <v>2</v>
      </c>
      <c r="AL84" s="106">
        <v>1</v>
      </c>
      <c r="AM84" s="106">
        <v>0</v>
      </c>
      <c r="AN84" s="107">
        <v>0</v>
      </c>
      <c r="AP84" s="94">
        <f>-0.00028*POWER(AQ16,2)</f>
        <v>-2.7965355471859651E-4</v>
      </c>
      <c r="AQ84" s="76">
        <f t="shared" si="38"/>
        <v>5.3728996817104342E-5</v>
      </c>
      <c r="AT84" s="108">
        <f t="shared" si="39"/>
        <v>-0.19212699395568045</v>
      </c>
      <c r="AU84" s="106">
        <v>2</v>
      </c>
      <c r="AV84" s="106">
        <v>1</v>
      </c>
      <c r="AW84" s="106">
        <v>0</v>
      </c>
      <c r="AX84" s="107">
        <v>0</v>
      </c>
    </row>
    <row r="85" spans="2:50" x14ac:dyDescent="0.2">
      <c r="B85" s="94">
        <f>0.00027*C16</f>
        <v>2.6983346220826887E-4</v>
      </c>
      <c r="C85" s="76">
        <f t="shared" si="30"/>
        <v>1.3356508818284713E-4</v>
      </c>
      <c r="F85" s="108">
        <f t="shared" si="31"/>
        <v>0.49499082541421774</v>
      </c>
      <c r="G85" s="106">
        <v>1</v>
      </c>
      <c r="H85" s="106">
        <v>2</v>
      </c>
      <c r="I85" s="106">
        <v>0</v>
      </c>
      <c r="J85" s="107">
        <v>0</v>
      </c>
      <c r="L85" s="94">
        <f>0.00027*M16</f>
        <v>2.6983332470183468E-4</v>
      </c>
      <c r="M85" s="76">
        <f t="shared" si="32"/>
        <v>-2.0626153905143973E-4</v>
      </c>
      <c r="P85" s="108">
        <f t="shared" si="33"/>
        <v>-0.76440350456845296</v>
      </c>
      <c r="Q85" s="106">
        <v>1</v>
      </c>
      <c r="R85" s="106">
        <v>2</v>
      </c>
      <c r="S85" s="106">
        <v>0</v>
      </c>
      <c r="T85" s="107">
        <v>0</v>
      </c>
      <c r="V85" s="94">
        <f>0.00027*W16</f>
        <v>2.6983318719523726E-4</v>
      </c>
      <c r="W85" s="76">
        <f t="shared" si="34"/>
        <v>2.5362263416779202E-4</v>
      </c>
      <c r="Z85" s="108">
        <f t="shared" si="35"/>
        <v>0.93992379812155535</v>
      </c>
      <c r="AA85" s="106">
        <v>1</v>
      </c>
      <c r="AB85" s="106">
        <v>2</v>
      </c>
      <c r="AC85" s="106">
        <v>0</v>
      </c>
      <c r="AD85" s="107">
        <v>0</v>
      </c>
      <c r="AF85" s="94">
        <f>0.00027*AG16</f>
        <v>2.6983304968847651E-4</v>
      </c>
      <c r="AG85" s="76">
        <f t="shared" si="36"/>
        <v>-2.6983099543106731E-4</v>
      </c>
      <c r="AJ85" s="108">
        <f t="shared" si="37"/>
        <v>-0.99999238693180259</v>
      </c>
      <c r="AK85" s="106">
        <v>1</v>
      </c>
      <c r="AL85" s="106">
        <v>2</v>
      </c>
      <c r="AM85" s="106">
        <v>0</v>
      </c>
      <c r="AN85" s="107">
        <v>0</v>
      </c>
      <c r="AP85" s="94">
        <f>0.00027*AQ16</f>
        <v>2.6983291218155253E-4</v>
      </c>
      <c r="AQ85" s="76">
        <f t="shared" si="38"/>
        <v>2.5289576767431978E-4</v>
      </c>
      <c r="AT85" s="108">
        <f t="shared" si="39"/>
        <v>0.93723099094806916</v>
      </c>
      <c r="AU85" s="106">
        <v>1</v>
      </c>
      <c r="AV85" s="106">
        <v>2</v>
      </c>
      <c r="AW85" s="106">
        <v>0</v>
      </c>
      <c r="AX85" s="107">
        <v>0</v>
      </c>
    </row>
    <row r="86" spans="2:50" x14ac:dyDescent="0.2">
      <c r="B86" s="94">
        <v>-1.7000000000000001E-4</v>
      </c>
      <c r="C86" s="76">
        <f t="shared" si="30"/>
        <v>-3.2311455656277754E-5</v>
      </c>
      <c r="F86" s="108">
        <f t="shared" si="31"/>
        <v>0.19006738621339855</v>
      </c>
      <c r="G86" s="106">
        <v>0</v>
      </c>
      <c r="H86" s="106">
        <v>0</v>
      </c>
      <c r="I86" s="106">
        <v>0</v>
      </c>
      <c r="J86" s="107">
        <v>1</v>
      </c>
      <c r="L86" s="94">
        <v>-1.7000000000000001E-4</v>
      </c>
      <c r="M86" s="76">
        <f t="shared" si="32"/>
        <v>-3.1171918215386887E-5</v>
      </c>
      <c r="P86" s="108">
        <f t="shared" si="33"/>
        <v>0.18336422479639344</v>
      </c>
      <c r="Q86" s="106">
        <v>0</v>
      </c>
      <c r="R86" s="106">
        <v>0</v>
      </c>
      <c r="S86" s="106">
        <v>0</v>
      </c>
      <c r="T86" s="107">
        <v>1</v>
      </c>
      <c r="V86" s="94">
        <v>-1.7000000000000001E-4</v>
      </c>
      <c r="W86" s="76">
        <f t="shared" si="34"/>
        <v>-3.0030929552476708E-5</v>
      </c>
      <c r="Z86" s="108">
        <f t="shared" si="35"/>
        <v>0.17665252677927473</v>
      </c>
      <c r="AA86" s="106">
        <v>0</v>
      </c>
      <c r="AB86" s="106">
        <v>0</v>
      </c>
      <c r="AC86" s="106">
        <v>0</v>
      </c>
      <c r="AD86" s="107">
        <v>1</v>
      </c>
      <c r="AF86" s="94">
        <v>-1.7000000000000001E-4</v>
      </c>
      <c r="AG86" s="76">
        <f t="shared" si="36"/>
        <v>-2.8888542786783546E-5</v>
      </c>
      <c r="AJ86" s="108">
        <f t="shared" si="37"/>
        <v>0.1699326046281385</v>
      </c>
      <c r="AK86" s="106">
        <v>0</v>
      </c>
      <c r="AL86" s="106">
        <v>0</v>
      </c>
      <c r="AM86" s="106">
        <v>0</v>
      </c>
      <c r="AN86" s="107">
        <v>1</v>
      </c>
      <c r="AP86" s="94">
        <v>-1.7000000000000001E-4</v>
      </c>
      <c r="AQ86" s="76">
        <f t="shared" si="38"/>
        <v>-2.7744811102632962E-5</v>
      </c>
      <c r="AT86" s="108">
        <f t="shared" si="39"/>
        <v>0.16320477119195859</v>
      </c>
      <c r="AU86" s="106">
        <v>0</v>
      </c>
      <c r="AV86" s="106">
        <v>0</v>
      </c>
      <c r="AW86" s="106">
        <v>0</v>
      </c>
      <c r="AX86" s="107">
        <v>1</v>
      </c>
    </row>
    <row r="87" spans="2:50" x14ac:dyDescent="0.2">
      <c r="B87" s="94">
        <v>-5.0000000000000002E-5</v>
      </c>
      <c r="C87" s="76">
        <f t="shared" si="30"/>
        <v>-4.6874456865100085E-5</v>
      </c>
      <c r="F87" s="108">
        <f t="shared" si="31"/>
        <v>0.93748913730200167</v>
      </c>
      <c r="G87" s="106">
        <v>-1</v>
      </c>
      <c r="H87" s="106">
        <v>1</v>
      </c>
      <c r="I87" s="106">
        <v>2</v>
      </c>
      <c r="J87" s="107">
        <v>0</v>
      </c>
      <c r="L87" s="94">
        <v>-5.0000000000000002E-5</v>
      </c>
      <c r="M87" s="76">
        <f t="shared" si="32"/>
        <v>-2.8592311821083355E-5</v>
      </c>
      <c r="P87" s="108">
        <f t="shared" si="33"/>
        <v>0.5718462364216671</v>
      </c>
      <c r="Q87" s="106">
        <v>-1</v>
      </c>
      <c r="R87" s="106">
        <v>1</v>
      </c>
      <c r="S87" s="106">
        <v>2</v>
      </c>
      <c r="T87" s="107">
        <v>0</v>
      </c>
      <c r="V87" s="94">
        <v>-5.0000000000000002E-5</v>
      </c>
      <c r="W87" s="76">
        <f t="shared" si="34"/>
        <v>3.2543867629889148E-5</v>
      </c>
      <c r="Z87" s="108">
        <f t="shared" si="35"/>
        <v>-0.6508773525977829</v>
      </c>
      <c r="AA87" s="106">
        <v>-1</v>
      </c>
      <c r="AB87" s="106">
        <v>1</v>
      </c>
      <c r="AC87" s="106">
        <v>2</v>
      </c>
      <c r="AD87" s="107">
        <v>0</v>
      </c>
      <c r="AF87" s="94">
        <v>-5.0000000000000002E-5</v>
      </c>
      <c r="AG87" s="76">
        <f t="shared" si="36"/>
        <v>4.4903437765012771E-5</v>
      </c>
      <c r="AJ87" s="108">
        <f t="shared" si="37"/>
        <v>-0.89806875530025532</v>
      </c>
      <c r="AK87" s="106">
        <v>-1</v>
      </c>
      <c r="AL87" s="106">
        <v>1</v>
      </c>
      <c r="AM87" s="106">
        <v>2</v>
      </c>
      <c r="AN87" s="107">
        <v>0</v>
      </c>
      <c r="AP87" s="94">
        <v>-5.0000000000000002E-5</v>
      </c>
      <c r="AQ87" s="76">
        <f t="shared" si="38"/>
        <v>-1.0038072158191229E-5</v>
      </c>
      <c r="AT87" s="108">
        <f t="shared" si="39"/>
        <v>0.20076144316382458</v>
      </c>
      <c r="AU87" s="106">
        <v>-1</v>
      </c>
      <c r="AV87" s="106">
        <v>1</v>
      </c>
      <c r="AW87" s="106">
        <v>2</v>
      </c>
      <c r="AX87" s="107">
        <v>0</v>
      </c>
    </row>
    <row r="88" spans="2:50" x14ac:dyDescent="0.2">
      <c r="B88" s="94">
        <v>4.0000000000000003E-5</v>
      </c>
      <c r="C88" s="76">
        <f t="shared" si="30"/>
        <v>2.3476793500560689E-5</v>
      </c>
      <c r="F88" s="108">
        <f t="shared" si="31"/>
        <v>0.58691983751401722</v>
      </c>
      <c r="G88" s="106">
        <v>0</v>
      </c>
      <c r="H88" s="106">
        <v>2</v>
      </c>
      <c r="I88" s="106">
        <v>2</v>
      </c>
      <c r="J88" s="107">
        <v>0</v>
      </c>
      <c r="L88" s="94">
        <v>4.0000000000000003E-5</v>
      </c>
      <c r="M88" s="76">
        <f t="shared" si="32"/>
        <v>3.6007418036729035E-5</v>
      </c>
      <c r="P88" s="108">
        <f t="shared" si="33"/>
        <v>0.90018545091822577</v>
      </c>
      <c r="Q88" s="106">
        <v>0</v>
      </c>
      <c r="R88" s="106">
        <v>2</v>
      </c>
      <c r="S88" s="106">
        <v>2</v>
      </c>
      <c r="T88" s="107">
        <v>0</v>
      </c>
      <c r="V88" s="94">
        <v>4.0000000000000003E-5</v>
      </c>
      <c r="W88" s="76">
        <f t="shared" si="34"/>
        <v>3.9964143800985841E-5</v>
      </c>
      <c r="Z88" s="108">
        <f t="shared" si="35"/>
        <v>0.99910359502464596</v>
      </c>
      <c r="AA88" s="106">
        <v>0</v>
      </c>
      <c r="AB88" s="106">
        <v>2</v>
      </c>
      <c r="AC88" s="106">
        <v>2</v>
      </c>
      <c r="AD88" s="107">
        <v>0</v>
      </c>
      <c r="AF88" s="94">
        <v>4.0000000000000003E-5</v>
      </c>
      <c r="AG88" s="76">
        <f t="shared" si="36"/>
        <v>3.4404815868776534E-5</v>
      </c>
      <c r="AJ88" s="108">
        <f t="shared" si="37"/>
        <v>0.86012039671941332</v>
      </c>
      <c r="AK88" s="106">
        <v>0</v>
      </c>
      <c r="AL88" s="106">
        <v>2</v>
      </c>
      <c r="AM88" s="106">
        <v>2</v>
      </c>
      <c r="AN88" s="107">
        <v>0</v>
      </c>
      <c r="AP88" s="94">
        <v>4.0000000000000003E-5</v>
      </c>
      <c r="AQ88" s="76">
        <f t="shared" si="38"/>
        <v>2.0653192440249923E-5</v>
      </c>
      <c r="AT88" s="108">
        <f t="shared" si="39"/>
        <v>0.51632981100624809</v>
      </c>
      <c r="AU88" s="106">
        <v>0</v>
      </c>
      <c r="AV88" s="106">
        <v>2</v>
      </c>
      <c r="AW88" s="106">
        <v>2</v>
      </c>
      <c r="AX88" s="107">
        <v>0</v>
      </c>
    </row>
    <row r="89" spans="2:50" x14ac:dyDescent="0.2">
      <c r="B89" s="94">
        <v>-4.0000000000000003E-5</v>
      </c>
      <c r="C89" s="76">
        <f t="shared" si="30"/>
        <v>-3.6732641120708368E-5</v>
      </c>
      <c r="F89" s="108">
        <f t="shared" si="31"/>
        <v>0.91831602801770917</v>
      </c>
      <c r="G89" s="106">
        <v>1</v>
      </c>
      <c r="H89" s="106">
        <v>1</v>
      </c>
      <c r="I89" s="106">
        <v>2</v>
      </c>
      <c r="J89" s="107">
        <v>0</v>
      </c>
      <c r="L89" s="94">
        <v>-4.0000000000000003E-5</v>
      </c>
      <c r="M89" s="76">
        <f t="shared" si="32"/>
        <v>-3.1685067346270493E-5</v>
      </c>
      <c r="P89" s="108">
        <f t="shared" si="33"/>
        <v>0.79212668365676231</v>
      </c>
      <c r="Q89" s="106">
        <v>1</v>
      </c>
      <c r="R89" s="106">
        <v>1</v>
      </c>
      <c r="S89" s="106">
        <v>2</v>
      </c>
      <c r="T89" s="107">
        <v>0</v>
      </c>
      <c r="V89" s="94">
        <v>-4.0000000000000003E-5</v>
      </c>
      <c r="W89" s="76">
        <f t="shared" si="34"/>
        <v>5.9465349113423663E-6</v>
      </c>
      <c r="Z89" s="108">
        <f t="shared" si="35"/>
        <v>-0.14866337278355915</v>
      </c>
      <c r="AA89" s="106">
        <v>1</v>
      </c>
      <c r="AB89" s="106">
        <v>1</v>
      </c>
      <c r="AC89" s="106">
        <v>2</v>
      </c>
      <c r="AD89" s="107">
        <v>0</v>
      </c>
      <c r="AF89" s="94">
        <v>-4.0000000000000003E-5</v>
      </c>
      <c r="AG89" s="76">
        <f t="shared" si="36"/>
        <v>3.7462888594183486E-5</v>
      </c>
      <c r="AJ89" s="108">
        <f t="shared" si="37"/>
        <v>-0.93657221485458708</v>
      </c>
      <c r="AK89" s="106">
        <v>1</v>
      </c>
      <c r="AL89" s="106">
        <v>1</v>
      </c>
      <c r="AM89" s="106">
        <v>2</v>
      </c>
      <c r="AN89" s="107">
        <v>0</v>
      </c>
      <c r="AP89" s="94">
        <v>-4.0000000000000003E-5</v>
      </c>
      <c r="AQ89" s="76">
        <f t="shared" si="38"/>
        <v>3.0453465587388082E-5</v>
      </c>
      <c r="AT89" s="108">
        <f t="shared" si="39"/>
        <v>-0.761336639684702</v>
      </c>
      <c r="AU89" s="106">
        <v>1</v>
      </c>
      <c r="AV89" s="106">
        <v>1</v>
      </c>
      <c r="AW89" s="106">
        <v>2</v>
      </c>
      <c r="AX89" s="107">
        <v>0</v>
      </c>
    </row>
    <row r="90" spans="2:50" x14ac:dyDescent="0.2">
      <c r="B90" s="94">
        <v>4.0000000000000003E-5</v>
      </c>
      <c r="C90" s="76">
        <f t="shared" si="30"/>
        <v>3.9245864348946672E-5</v>
      </c>
      <c r="F90" s="108">
        <f t="shared" si="31"/>
        <v>0.98114660872366677</v>
      </c>
      <c r="G90" s="106">
        <v>-2</v>
      </c>
      <c r="H90" s="106">
        <v>1</v>
      </c>
      <c r="I90" s="106">
        <v>0</v>
      </c>
      <c r="J90" s="107">
        <v>0</v>
      </c>
      <c r="L90" s="94">
        <v>4.0000000000000003E-5</v>
      </c>
      <c r="M90" s="76">
        <f t="shared" si="32"/>
        <v>-2.1247685203182867E-6</v>
      </c>
      <c r="P90" s="108">
        <f t="shared" si="33"/>
        <v>-5.3119213007957161E-2</v>
      </c>
      <c r="Q90" s="106">
        <v>-2</v>
      </c>
      <c r="R90" s="106">
        <v>1</v>
      </c>
      <c r="S90" s="106">
        <v>0</v>
      </c>
      <c r="T90" s="107">
        <v>0</v>
      </c>
      <c r="V90" s="94">
        <v>4.0000000000000003E-5</v>
      </c>
      <c r="W90" s="76">
        <f t="shared" si="34"/>
        <v>-3.9844515058289571E-5</v>
      </c>
      <c r="Z90" s="108">
        <f t="shared" si="35"/>
        <v>-0.99611287645723912</v>
      </c>
      <c r="AA90" s="106">
        <v>-2</v>
      </c>
      <c r="AB90" s="106">
        <v>1</v>
      </c>
      <c r="AC90" s="106">
        <v>0</v>
      </c>
      <c r="AD90" s="107">
        <v>0</v>
      </c>
      <c r="AF90" s="94">
        <v>4.0000000000000003E-5</v>
      </c>
      <c r="AG90" s="76">
        <f t="shared" si="36"/>
        <v>-9.1013706891878055E-6</v>
      </c>
      <c r="AJ90" s="108">
        <f t="shared" si="37"/>
        <v>-0.22753426722969511</v>
      </c>
      <c r="AK90" s="106">
        <v>-2</v>
      </c>
      <c r="AL90" s="106">
        <v>1</v>
      </c>
      <c r="AM90" s="106">
        <v>0</v>
      </c>
      <c r="AN90" s="107">
        <v>0</v>
      </c>
      <c r="AP90" s="94">
        <v>4.0000000000000003E-5</v>
      </c>
      <c r="AQ90" s="76">
        <f t="shared" si="38"/>
        <v>3.7280215952369901E-5</v>
      </c>
      <c r="AT90" s="108">
        <f t="shared" si="39"/>
        <v>0.93200539880924738</v>
      </c>
      <c r="AU90" s="106">
        <v>-2</v>
      </c>
      <c r="AV90" s="106">
        <v>1</v>
      </c>
      <c r="AW90" s="106">
        <v>0</v>
      </c>
      <c r="AX90" s="107">
        <v>0</v>
      </c>
    </row>
    <row r="91" spans="2:50" x14ac:dyDescent="0.2">
      <c r="B91" s="94">
        <v>3.0000000000000001E-5</v>
      </c>
      <c r="C91" s="76">
        <f t="shared" si="30"/>
        <v>2.972053136853388E-5</v>
      </c>
      <c r="F91" s="108">
        <f t="shared" si="31"/>
        <v>0.99068437895112937</v>
      </c>
      <c r="G91" s="106">
        <v>1</v>
      </c>
      <c r="H91" s="106">
        <v>1</v>
      </c>
      <c r="I91" s="106">
        <v>-2</v>
      </c>
      <c r="J91" s="107">
        <v>0</v>
      </c>
      <c r="L91" s="94">
        <v>3.0000000000000001E-5</v>
      </c>
      <c r="M91" s="76">
        <f t="shared" si="32"/>
        <v>3.2514683170302495E-6</v>
      </c>
      <c r="P91" s="108">
        <f t="shared" si="33"/>
        <v>0.10838227723434164</v>
      </c>
      <c r="Q91" s="106">
        <v>1</v>
      </c>
      <c r="R91" s="106">
        <v>1</v>
      </c>
      <c r="S91" s="106">
        <v>-2</v>
      </c>
      <c r="T91" s="107">
        <v>0</v>
      </c>
      <c r="V91" s="94">
        <v>3.0000000000000001E-5</v>
      </c>
      <c r="W91" s="76">
        <f t="shared" si="34"/>
        <v>-2.9902634635749571E-5</v>
      </c>
      <c r="Z91" s="108">
        <f t="shared" si="35"/>
        <v>-0.99675448785831899</v>
      </c>
      <c r="AA91" s="106">
        <v>1</v>
      </c>
      <c r="AB91" s="106">
        <v>1</v>
      </c>
      <c r="AC91" s="106">
        <v>-2</v>
      </c>
      <c r="AD91" s="107">
        <v>0</v>
      </c>
      <c r="AF91" s="94">
        <v>3.0000000000000001E-5</v>
      </c>
      <c r="AG91" s="76">
        <f t="shared" si="36"/>
        <v>-1.5767272676774188E-6</v>
      </c>
      <c r="AJ91" s="108">
        <f t="shared" si="37"/>
        <v>-5.2557575589247292E-2</v>
      </c>
      <c r="AK91" s="106">
        <v>1</v>
      </c>
      <c r="AL91" s="106">
        <v>1</v>
      </c>
      <c r="AM91" s="106">
        <v>-2</v>
      </c>
      <c r="AN91" s="107">
        <v>0</v>
      </c>
      <c r="AP91" s="94">
        <v>3.0000000000000001E-5</v>
      </c>
      <c r="AQ91" s="76">
        <f t="shared" si="38"/>
        <v>2.9990941566212008E-5</v>
      </c>
      <c r="AT91" s="108">
        <f t="shared" si="39"/>
        <v>0.99969805220706687</v>
      </c>
      <c r="AU91" s="106">
        <v>1</v>
      </c>
      <c r="AV91" s="106">
        <v>1</v>
      </c>
      <c r="AW91" s="106">
        <v>-2</v>
      </c>
      <c r="AX91" s="107">
        <v>0</v>
      </c>
    </row>
    <row r="92" spans="2:50" x14ac:dyDescent="0.2">
      <c r="B92" s="94">
        <v>3.0000000000000001E-5</v>
      </c>
      <c r="C92" s="76">
        <f t="shared" si="30"/>
        <v>-2.3169332160196152E-6</v>
      </c>
      <c r="F92" s="108">
        <f t="shared" si="31"/>
        <v>-7.7231107200653834E-2</v>
      </c>
      <c r="G92" s="106">
        <v>3</v>
      </c>
      <c r="H92" s="106">
        <v>0</v>
      </c>
      <c r="I92" s="106">
        <v>0</v>
      </c>
      <c r="J92" s="107">
        <v>0</v>
      </c>
      <c r="L92" s="94">
        <v>3.0000000000000001E-5</v>
      </c>
      <c r="M92" s="76">
        <f t="shared" si="32"/>
        <v>-1.3272626248817583E-5</v>
      </c>
      <c r="P92" s="108">
        <f t="shared" si="33"/>
        <v>-0.44242087496058613</v>
      </c>
      <c r="Q92" s="106">
        <v>3</v>
      </c>
      <c r="R92" s="106">
        <v>0</v>
      </c>
      <c r="S92" s="106">
        <v>0</v>
      </c>
      <c r="T92" s="107">
        <v>0</v>
      </c>
      <c r="V92" s="94">
        <v>3.0000000000000001E-5</v>
      </c>
      <c r="W92" s="76">
        <f t="shared" si="34"/>
        <v>-2.2324961716499933E-5</v>
      </c>
      <c r="Z92" s="108">
        <f t="shared" si="35"/>
        <v>-0.74416539054999775</v>
      </c>
      <c r="AA92" s="106">
        <v>3</v>
      </c>
      <c r="AB92" s="106">
        <v>0</v>
      </c>
      <c r="AC92" s="106">
        <v>0</v>
      </c>
      <c r="AD92" s="107">
        <v>0</v>
      </c>
      <c r="AF92" s="94">
        <v>3.0000000000000001E-5</v>
      </c>
      <c r="AG92" s="76">
        <f t="shared" si="36"/>
        <v>-2.8175791771665525E-5</v>
      </c>
      <c r="AJ92" s="108">
        <f t="shared" si="37"/>
        <v>-0.93919305905551753</v>
      </c>
      <c r="AK92" s="106">
        <v>3</v>
      </c>
      <c r="AL92" s="106">
        <v>0</v>
      </c>
      <c r="AM92" s="106">
        <v>0</v>
      </c>
      <c r="AN92" s="107">
        <v>0</v>
      </c>
      <c r="AP92" s="94">
        <v>3.0000000000000001E-5</v>
      </c>
      <c r="AQ92" s="76">
        <f t="shared" si="38"/>
        <v>-2.9986079629968479E-5</v>
      </c>
      <c r="AT92" s="108">
        <f t="shared" si="39"/>
        <v>-0.99953598766561591</v>
      </c>
      <c r="AU92" s="106">
        <v>3</v>
      </c>
      <c r="AV92" s="106">
        <v>0</v>
      </c>
      <c r="AW92" s="106">
        <v>0</v>
      </c>
      <c r="AX92" s="107">
        <v>0</v>
      </c>
    </row>
    <row r="93" spans="2:50" x14ac:dyDescent="0.2">
      <c r="B93" s="94">
        <v>2.0000000000000002E-5</v>
      </c>
      <c r="C93" s="76">
        <f t="shared" si="30"/>
        <v>6.986686660294005E-6</v>
      </c>
      <c r="F93" s="108">
        <f t="shared" si="31"/>
        <v>0.34933433301470024</v>
      </c>
      <c r="G93" s="106">
        <v>0</v>
      </c>
      <c r="H93" s="106">
        <v>2</v>
      </c>
      <c r="I93" s="106">
        <v>-2</v>
      </c>
      <c r="J93" s="107">
        <v>0</v>
      </c>
      <c r="L93" s="94">
        <v>2.0000000000000002E-5</v>
      </c>
      <c r="M93" s="76">
        <f t="shared" si="32"/>
        <v>6.186920743677969E-6</v>
      </c>
      <c r="P93" s="108">
        <f t="shared" si="33"/>
        <v>0.30934603718389841</v>
      </c>
      <c r="Q93" s="106">
        <v>0</v>
      </c>
      <c r="R93" s="106">
        <v>2</v>
      </c>
      <c r="S93" s="106">
        <v>-2</v>
      </c>
      <c r="T93" s="107">
        <v>0</v>
      </c>
      <c r="V93" s="94">
        <v>2.0000000000000002E-5</v>
      </c>
      <c r="W93" s="76">
        <f t="shared" si="34"/>
        <v>5.3760573155112229E-6</v>
      </c>
      <c r="Z93" s="108">
        <f t="shared" si="35"/>
        <v>0.26880286577556112</v>
      </c>
      <c r="AA93" s="106">
        <v>0</v>
      </c>
      <c r="AB93" s="106">
        <v>2</v>
      </c>
      <c r="AC93" s="106">
        <v>-2</v>
      </c>
      <c r="AD93" s="107">
        <v>0</v>
      </c>
      <c r="AF93" s="94">
        <v>2.0000000000000002E-5</v>
      </c>
      <c r="AG93" s="76">
        <f t="shared" si="36"/>
        <v>4.5555508258242612E-6</v>
      </c>
      <c r="AJ93" s="108">
        <f t="shared" si="37"/>
        <v>0.22777754129121305</v>
      </c>
      <c r="AK93" s="106">
        <v>0</v>
      </c>
      <c r="AL93" s="106">
        <v>2</v>
      </c>
      <c r="AM93" s="106">
        <v>-2</v>
      </c>
      <c r="AN93" s="107">
        <v>0</v>
      </c>
      <c r="AP93" s="94">
        <v>2.0000000000000002E-5</v>
      </c>
      <c r="AQ93" s="76">
        <f t="shared" si="38"/>
        <v>3.7268730214224519E-6</v>
      </c>
      <c r="AT93" s="108">
        <f t="shared" si="39"/>
        <v>0.18634365107112258</v>
      </c>
      <c r="AU93" s="106">
        <v>0</v>
      </c>
      <c r="AV93" s="106">
        <v>2</v>
      </c>
      <c r="AW93" s="106">
        <v>-2</v>
      </c>
      <c r="AX93" s="107">
        <v>0</v>
      </c>
    </row>
    <row r="94" spans="2:50" x14ac:dyDescent="0.2">
      <c r="B94" s="94">
        <v>2.0000000000000002E-5</v>
      </c>
      <c r="C94" s="76">
        <f t="shared" si="30"/>
        <v>1.8749782746040035E-5</v>
      </c>
      <c r="F94" s="108">
        <f t="shared" si="31"/>
        <v>0.93748913730200167</v>
      </c>
      <c r="G94" s="106">
        <v>-1</v>
      </c>
      <c r="H94" s="106">
        <v>1</v>
      </c>
      <c r="I94" s="106">
        <v>2</v>
      </c>
      <c r="J94" s="107">
        <v>0</v>
      </c>
      <c r="L94" s="94">
        <v>2.0000000000000002E-5</v>
      </c>
      <c r="M94" s="76">
        <f t="shared" si="32"/>
        <v>1.1436924728433343E-5</v>
      </c>
      <c r="P94" s="108">
        <f t="shared" si="33"/>
        <v>0.5718462364216671</v>
      </c>
      <c r="Q94" s="106">
        <v>-1</v>
      </c>
      <c r="R94" s="106">
        <v>1</v>
      </c>
      <c r="S94" s="106">
        <v>2</v>
      </c>
      <c r="T94" s="107">
        <v>0</v>
      </c>
      <c r="V94" s="94">
        <v>2.0000000000000002E-5</v>
      </c>
      <c r="W94" s="76">
        <f t="shared" si="34"/>
        <v>-1.301754705195566E-5</v>
      </c>
      <c r="Z94" s="108">
        <f t="shared" si="35"/>
        <v>-0.6508773525977829</v>
      </c>
      <c r="AA94" s="106">
        <v>-1</v>
      </c>
      <c r="AB94" s="106">
        <v>1</v>
      </c>
      <c r="AC94" s="106">
        <v>2</v>
      </c>
      <c r="AD94" s="107">
        <v>0</v>
      </c>
      <c r="AF94" s="94">
        <v>2.0000000000000002E-5</v>
      </c>
      <c r="AG94" s="76">
        <f t="shared" si="36"/>
        <v>-1.7961375106005108E-5</v>
      </c>
      <c r="AJ94" s="108">
        <f t="shared" si="37"/>
        <v>-0.89806875530025532</v>
      </c>
      <c r="AK94" s="106">
        <v>-1</v>
      </c>
      <c r="AL94" s="106">
        <v>1</v>
      </c>
      <c r="AM94" s="106">
        <v>2</v>
      </c>
      <c r="AN94" s="107">
        <v>0</v>
      </c>
      <c r="AP94" s="94">
        <v>2.0000000000000002E-5</v>
      </c>
      <c r="AQ94" s="76">
        <f t="shared" si="38"/>
        <v>4.0152288632764922E-6</v>
      </c>
      <c r="AT94" s="108">
        <f t="shared" si="39"/>
        <v>0.20076144316382458</v>
      </c>
      <c r="AU94" s="106">
        <v>-1</v>
      </c>
      <c r="AV94" s="106">
        <v>1</v>
      </c>
      <c r="AW94" s="106">
        <v>2</v>
      </c>
      <c r="AX94" s="107">
        <v>0</v>
      </c>
    </row>
    <row r="95" spans="2:50" x14ac:dyDescent="0.2">
      <c r="B95" s="96">
        <v>-2.0000000000000002E-5</v>
      </c>
      <c r="C95" s="74">
        <f t="shared" si="30"/>
        <v>-1.4443542058493889E-5</v>
      </c>
      <c r="F95" s="109">
        <f t="shared" si="31"/>
        <v>0.72217710292469439</v>
      </c>
      <c r="G95" s="110">
        <v>1</v>
      </c>
      <c r="H95" s="110">
        <v>3</v>
      </c>
      <c r="I95" s="110">
        <v>0</v>
      </c>
      <c r="J95" s="111">
        <v>0</v>
      </c>
      <c r="L95" s="96">
        <v>-2.0000000000000002E-5</v>
      </c>
      <c r="M95" s="74">
        <f t="shared" si="32"/>
        <v>-1.8841678731039001E-5</v>
      </c>
      <c r="P95" s="109">
        <f t="shared" si="33"/>
        <v>0.94208393655195</v>
      </c>
      <c r="Q95" s="110">
        <v>1</v>
      </c>
      <c r="R95" s="110">
        <v>3</v>
      </c>
      <c r="S95" s="110">
        <v>0</v>
      </c>
      <c r="T95" s="111">
        <v>0</v>
      </c>
      <c r="V95" s="96">
        <v>-2.0000000000000002E-5</v>
      </c>
      <c r="W95" s="74">
        <f t="shared" si="34"/>
        <v>-2.452480837417196E-6</v>
      </c>
      <c r="Z95" s="109">
        <f t="shared" si="35"/>
        <v>0.12262404187085979</v>
      </c>
      <c r="AA95" s="110">
        <v>1</v>
      </c>
      <c r="AB95" s="110">
        <v>3</v>
      </c>
      <c r="AC95" s="110">
        <v>0</v>
      </c>
      <c r="AD95" s="111">
        <v>0</v>
      </c>
      <c r="AF95" s="96">
        <v>-2.0000000000000002E-5</v>
      </c>
      <c r="AG95" s="74">
        <f t="shared" si="36"/>
        <v>1.6642449406338797E-5</v>
      </c>
      <c r="AJ95" s="109">
        <f t="shared" si="37"/>
        <v>-0.83212247031693987</v>
      </c>
      <c r="AK95" s="110">
        <v>1</v>
      </c>
      <c r="AL95" s="110">
        <v>3</v>
      </c>
      <c r="AM95" s="110">
        <v>0</v>
      </c>
      <c r="AN95" s="111">
        <v>0</v>
      </c>
      <c r="AP95" s="96">
        <v>-2.0000000000000002E-5</v>
      </c>
      <c r="AQ95" s="74">
        <f t="shared" si="38"/>
        <v>1.7376374311673834E-5</v>
      </c>
      <c r="AT95" s="109">
        <f t="shared" si="39"/>
        <v>-0.86881871558369161</v>
      </c>
      <c r="AU95" s="110">
        <v>1</v>
      </c>
      <c r="AV95" s="110">
        <v>3</v>
      </c>
      <c r="AW95" s="110">
        <v>0</v>
      </c>
      <c r="AX95" s="111">
        <v>0</v>
      </c>
    </row>
    <row r="96" spans="2:50" x14ac:dyDescent="0.2">
      <c r="C96" s="98">
        <f>SUM(C71:C95)</f>
        <v>-0.60916112810776957</v>
      </c>
      <c r="M96" s="98">
        <f>SUM(M71:M95)</f>
        <v>0.19965595188091362</v>
      </c>
      <c r="W96" s="98">
        <f>SUM(W71:W95)</f>
        <v>0.49522827774513573</v>
      </c>
      <c r="AG96" s="98">
        <f>SUM(AG71:AG95)</f>
        <v>-0.39003680473355018</v>
      </c>
      <c r="AQ96" s="98">
        <f>SUM(AQ71:AQ95)</f>
        <v>-0.58235895405402494</v>
      </c>
    </row>
    <row r="98" spans="2:46" x14ac:dyDescent="0.2">
      <c r="B98" s="89" t="s">
        <v>107</v>
      </c>
      <c r="C98" s="90"/>
      <c r="D98" s="91"/>
      <c r="L98" s="89" t="s">
        <v>107</v>
      </c>
      <c r="M98" s="90"/>
      <c r="N98" s="91"/>
      <c r="V98" s="89" t="s">
        <v>107</v>
      </c>
      <c r="W98" s="90"/>
      <c r="X98" s="91"/>
      <c r="AF98" s="89" t="s">
        <v>107</v>
      </c>
      <c r="AG98" s="90"/>
      <c r="AH98" s="91"/>
      <c r="AP98" s="89" t="s">
        <v>107</v>
      </c>
      <c r="AQ98" s="90"/>
      <c r="AR98" s="91"/>
    </row>
    <row r="99" spans="2:46" x14ac:dyDescent="0.2">
      <c r="B99" s="73" t="s">
        <v>103</v>
      </c>
      <c r="C99" s="74">
        <f>0.00306-0.00038*C16*COS($C$4*C19)+0.00026*COS($C$4*C20)-0.00002*COS($C$4*(C20-C19))+0.00002*COS($C$4*(C20+C19))+0.00002*COS($C$4*2*C21)</f>
        <v>3.3574978766196121E-3</v>
      </c>
      <c r="L99" s="73" t="s">
        <v>103</v>
      </c>
      <c r="M99" s="74">
        <f>0.00306-0.00038*M16*COS($C$4*M19)+0.00026*COS($C$4*M20)-0.00002*COS($C$4*(M20-M19))+0.00002*COS($C$4*(M20+M19))+0.00002*COS($C$4*2*M21)</f>
        <v>3.2081506629280786E-3</v>
      </c>
      <c r="V99" s="73" t="s">
        <v>103</v>
      </c>
      <c r="W99" s="74">
        <f>0.00306-0.00038*W16*COS($C$4*W19)+0.00026*COS($C$4*W20)-0.00002*COS($C$4*(W20-W19))+0.00002*COS($C$4*(W20+W19))+0.00002*COS($C$4*2*W21)</f>
        <v>3.5175463358615654E-3</v>
      </c>
      <c r="AF99" s="73" t="s">
        <v>103</v>
      </c>
      <c r="AG99" s="74">
        <f>0.00306-0.00038*AG16*COS($C$4*AG19)+0.00026*COS($C$4*AG20)-0.00002*COS($C$4*(AG20-AG19))+0.00002*COS($C$4*(AG20+AG19))+0.00002*COS($C$4*2*AG21)</f>
        <v>3.6462431019610598E-3</v>
      </c>
      <c r="AP99" s="73" t="s">
        <v>103</v>
      </c>
      <c r="AQ99" s="74">
        <f>0.00306-0.00038*AQ16*COS($C$4*AQ19)+0.00026*COS($C$4*AQ20)-0.00002*COS($C$4*(AQ20-AQ19))+0.00002*COS($C$4*(AQ20+AQ19))+0.00002*COS($C$4*2*AQ21)</f>
        <v>3.2285881028969654E-3</v>
      </c>
    </row>
    <row r="101" spans="2:46" x14ac:dyDescent="0.2">
      <c r="B101" s="113" t="s">
        <v>106</v>
      </c>
      <c r="C101" s="114" t="s">
        <v>105</v>
      </c>
      <c r="D101" s="93" t="s">
        <v>104</v>
      </c>
      <c r="E101" s="93" t="s">
        <v>103</v>
      </c>
      <c r="F101" s="115" t="s">
        <v>102</v>
      </c>
      <c r="L101" s="113" t="s">
        <v>106</v>
      </c>
      <c r="M101" s="114" t="s">
        <v>105</v>
      </c>
      <c r="N101" s="93" t="s">
        <v>104</v>
      </c>
      <c r="O101" s="93" t="s">
        <v>103</v>
      </c>
      <c r="P101" s="115" t="s">
        <v>102</v>
      </c>
      <c r="V101" s="113" t="s">
        <v>106</v>
      </c>
      <c r="W101" s="114" t="s">
        <v>105</v>
      </c>
      <c r="X101" s="93" t="s">
        <v>104</v>
      </c>
      <c r="Y101" s="93" t="s">
        <v>103</v>
      </c>
      <c r="Z101" s="115" t="s">
        <v>102</v>
      </c>
      <c r="AF101" s="113" t="s">
        <v>106</v>
      </c>
      <c r="AG101" s="114" t="s">
        <v>105</v>
      </c>
      <c r="AH101" s="93" t="s">
        <v>104</v>
      </c>
      <c r="AI101" s="93" t="s">
        <v>103</v>
      </c>
      <c r="AJ101" s="115" t="s">
        <v>102</v>
      </c>
      <c r="AP101" s="113" t="s">
        <v>106</v>
      </c>
      <c r="AQ101" s="114" t="s">
        <v>105</v>
      </c>
      <c r="AR101" s="93" t="s">
        <v>104</v>
      </c>
      <c r="AS101" s="93" t="s">
        <v>103</v>
      </c>
      <c r="AT101" s="115" t="s">
        <v>102</v>
      </c>
    </row>
    <row r="102" spans="2:46" x14ac:dyDescent="0.2">
      <c r="B102" s="68" t="s">
        <v>77</v>
      </c>
      <c r="C102" s="68">
        <v>0</v>
      </c>
      <c r="D102" s="77">
        <f>C68</f>
        <v>-0.4084470330928256</v>
      </c>
      <c r="E102" s="77">
        <v>0</v>
      </c>
      <c r="F102" s="75">
        <f>B40</f>
        <v>-3.373260833516886E-4</v>
      </c>
      <c r="L102" s="68" t="s">
        <v>77</v>
      </c>
      <c r="M102" s="68">
        <v>0</v>
      </c>
      <c r="N102" s="77">
        <f>M68</f>
        <v>0.13130836805017987</v>
      </c>
      <c r="O102" s="77">
        <v>0</v>
      </c>
      <c r="P102" s="75">
        <f>L40</f>
        <v>-3.4157526907928532E-4</v>
      </c>
      <c r="V102" s="68" t="s">
        <v>77</v>
      </c>
      <c r="W102" s="68">
        <v>0</v>
      </c>
      <c r="X102" s="77">
        <f>W68</f>
        <v>0.29954718985513468</v>
      </c>
      <c r="Y102" s="77">
        <v>0</v>
      </c>
      <c r="Z102" s="75">
        <f>V40</f>
        <v>-3.482521686987787E-4</v>
      </c>
      <c r="AF102" s="68" t="s">
        <v>77</v>
      </c>
      <c r="AG102" s="68">
        <v>0</v>
      </c>
      <c r="AH102" s="77">
        <f>AG68</f>
        <v>-0.26629073811942555</v>
      </c>
      <c r="AI102" s="77">
        <v>0</v>
      </c>
      <c r="AJ102" s="75">
        <f>AF40</f>
        <v>-3.5698396399114814E-4</v>
      </c>
      <c r="AP102" s="68" t="s">
        <v>77</v>
      </c>
      <c r="AQ102" s="68">
        <v>0</v>
      </c>
      <c r="AR102" s="77">
        <f>AQ68</f>
        <v>-0.42813987138145815</v>
      </c>
      <c r="AS102" s="77">
        <v>0</v>
      </c>
      <c r="AT102" s="75">
        <f>AP40</f>
        <v>-3.6728155189427855E-4</v>
      </c>
    </row>
    <row r="103" spans="2:46" x14ac:dyDescent="0.2">
      <c r="B103" s="70" t="s">
        <v>82</v>
      </c>
      <c r="C103" s="70">
        <v>0.25</v>
      </c>
      <c r="D103" s="81">
        <f>C96</f>
        <v>-0.60916112810776957</v>
      </c>
      <c r="E103" s="81">
        <f>C99</f>
        <v>3.3574978766196121E-3</v>
      </c>
      <c r="F103" s="76">
        <f>B40</f>
        <v>-3.373260833516886E-4</v>
      </c>
      <c r="L103" s="70" t="s">
        <v>82</v>
      </c>
      <c r="M103" s="70">
        <v>0.25</v>
      </c>
      <c r="N103" s="81">
        <f>M96</f>
        <v>0.19965595188091362</v>
      </c>
      <c r="O103" s="81">
        <f>M99</f>
        <v>3.2081506629280786E-3</v>
      </c>
      <c r="P103" s="76">
        <f>L40</f>
        <v>-3.4157526907928532E-4</v>
      </c>
      <c r="V103" s="70" t="s">
        <v>82</v>
      </c>
      <c r="W103" s="70">
        <v>0.25</v>
      </c>
      <c r="X103" s="81">
        <f>W96</f>
        <v>0.49522827774513573</v>
      </c>
      <c r="Y103" s="81">
        <f>W99</f>
        <v>3.5175463358615654E-3</v>
      </c>
      <c r="Z103" s="76">
        <f>V40</f>
        <v>-3.482521686987787E-4</v>
      </c>
      <c r="AF103" s="70" t="s">
        <v>82</v>
      </c>
      <c r="AG103" s="70">
        <v>0.25</v>
      </c>
      <c r="AH103" s="81">
        <f>AG96</f>
        <v>-0.39003680473355018</v>
      </c>
      <c r="AI103" s="81">
        <f>AG99</f>
        <v>3.6462431019610598E-3</v>
      </c>
      <c r="AJ103" s="76">
        <f>AF40</f>
        <v>-3.5698396399114814E-4</v>
      </c>
      <c r="AP103" s="70" t="s">
        <v>82</v>
      </c>
      <c r="AQ103" s="70">
        <v>0.25</v>
      </c>
      <c r="AR103" s="81">
        <f>AQ96</f>
        <v>-0.58235895405402494</v>
      </c>
      <c r="AS103" s="81">
        <f>AQ99</f>
        <v>3.2285881028969654E-3</v>
      </c>
      <c r="AT103" s="76">
        <f>AP40</f>
        <v>-3.6728155189427855E-4</v>
      </c>
    </row>
    <row r="104" spans="2:46" x14ac:dyDescent="0.2">
      <c r="B104" s="70" t="s">
        <v>80</v>
      </c>
      <c r="C104" s="70">
        <v>0.5</v>
      </c>
      <c r="D104" s="81">
        <f>E68</f>
        <v>-0.40740949426962614</v>
      </c>
      <c r="E104" s="81">
        <v>0</v>
      </c>
      <c r="F104" s="76">
        <f>B40</f>
        <v>-3.373260833516886E-4</v>
      </c>
      <c r="L104" s="70" t="s">
        <v>80</v>
      </c>
      <c r="M104" s="70">
        <v>0.5</v>
      </c>
      <c r="N104" s="81">
        <f>O68</f>
        <v>0.13088652575991239</v>
      </c>
      <c r="O104" s="81">
        <v>0</v>
      </c>
      <c r="P104" s="76">
        <f>L40</f>
        <v>-3.4157526907928532E-4</v>
      </c>
      <c r="V104" s="70" t="s">
        <v>80</v>
      </c>
      <c r="W104" s="70">
        <v>0.5</v>
      </c>
      <c r="X104" s="81">
        <f>Y68</f>
        <v>0.29830996952600947</v>
      </c>
      <c r="Y104" s="81">
        <v>0</v>
      </c>
      <c r="Z104" s="76">
        <f>V40</f>
        <v>-3.482521686987787E-4</v>
      </c>
      <c r="AF104" s="70" t="s">
        <v>80</v>
      </c>
      <c r="AG104" s="70">
        <v>0.5</v>
      </c>
      <c r="AH104" s="81">
        <f>AI68</f>
        <v>-0.26583562292298946</v>
      </c>
      <c r="AI104" s="81">
        <v>0</v>
      </c>
      <c r="AJ104" s="76">
        <f>AF40</f>
        <v>-3.5698396399114814E-4</v>
      </c>
      <c r="AP104" s="70" t="s">
        <v>80</v>
      </c>
      <c r="AQ104" s="70">
        <v>0.5</v>
      </c>
      <c r="AR104" s="81">
        <f>AS68</f>
        <v>-0.42767201839648178</v>
      </c>
      <c r="AS104" s="81">
        <v>0</v>
      </c>
      <c r="AT104" s="76">
        <f>AP40</f>
        <v>-3.6728155189427855E-4</v>
      </c>
    </row>
    <row r="105" spans="2:46" x14ac:dyDescent="0.2">
      <c r="B105" s="73" t="s">
        <v>94</v>
      </c>
      <c r="C105" s="73">
        <v>0.75</v>
      </c>
      <c r="D105" s="85">
        <f>C96</f>
        <v>-0.60916112810776957</v>
      </c>
      <c r="E105" s="85">
        <f>-C99</f>
        <v>-3.3574978766196121E-3</v>
      </c>
      <c r="F105" s="74">
        <f>B40</f>
        <v>-3.373260833516886E-4</v>
      </c>
      <c r="L105" s="73" t="s">
        <v>94</v>
      </c>
      <c r="M105" s="73">
        <v>0.75</v>
      </c>
      <c r="N105" s="85">
        <f>M96</f>
        <v>0.19965595188091362</v>
      </c>
      <c r="O105" s="85">
        <f>-M99</f>
        <v>-3.2081506629280786E-3</v>
      </c>
      <c r="P105" s="74">
        <f>L40</f>
        <v>-3.4157526907928532E-4</v>
      </c>
      <c r="V105" s="73" t="s">
        <v>94</v>
      </c>
      <c r="W105" s="73">
        <v>0.75</v>
      </c>
      <c r="X105" s="85">
        <f>W96</f>
        <v>0.49522827774513573</v>
      </c>
      <c r="Y105" s="85">
        <f>-W99</f>
        <v>-3.5175463358615654E-3</v>
      </c>
      <c r="Z105" s="74">
        <f>V40</f>
        <v>-3.482521686987787E-4</v>
      </c>
      <c r="AF105" s="73" t="s">
        <v>94</v>
      </c>
      <c r="AG105" s="73">
        <v>0.75</v>
      </c>
      <c r="AH105" s="85">
        <f>AG96</f>
        <v>-0.39003680473355018</v>
      </c>
      <c r="AI105" s="85">
        <f>-AG99</f>
        <v>-3.6462431019610598E-3</v>
      </c>
      <c r="AJ105" s="74">
        <f>AF40</f>
        <v>-3.5698396399114814E-4</v>
      </c>
      <c r="AP105" s="73" t="s">
        <v>94</v>
      </c>
      <c r="AQ105" s="73">
        <v>0.75</v>
      </c>
      <c r="AR105" s="85">
        <f>AQ96</f>
        <v>-0.58235895405402494</v>
      </c>
      <c r="AS105" s="85">
        <f>-AQ99</f>
        <v>-3.2285881028969654E-3</v>
      </c>
      <c r="AT105" s="74">
        <f>AP40</f>
        <v>-3.6728155189427855E-4</v>
      </c>
    </row>
    <row r="107" spans="2:46" x14ac:dyDescent="0.2">
      <c r="B107" s="89" t="s">
        <v>101</v>
      </c>
      <c r="C107" s="91"/>
      <c r="L107" s="89" t="s">
        <v>101</v>
      </c>
      <c r="M107" s="91"/>
      <c r="V107" s="89" t="s">
        <v>101</v>
      </c>
      <c r="W107" s="91"/>
      <c r="AF107" s="89" t="s">
        <v>101</v>
      </c>
      <c r="AG107" s="91"/>
      <c r="AP107" s="89" t="s">
        <v>101</v>
      </c>
      <c r="AQ107" s="91"/>
    </row>
    <row r="108" spans="2:46" x14ac:dyDescent="0.2">
      <c r="B108" s="66" t="s">
        <v>100</v>
      </c>
      <c r="C108" s="116">
        <f>C17+VLOOKUP(B12,B102:D105,3,FALSE)+VLOOKUP(B12,B102:E105,4,FALSE)+VLOOKUP(B12,B102:F105,5,FALSE)</f>
        <v>2460497.4572961209</v>
      </c>
      <c r="L108" s="66" t="s">
        <v>100</v>
      </c>
      <c r="M108" s="116">
        <f>M17+VLOOKUP(L12,L102:N105,3,FALSE)+VLOOKUP(L12,L102:O105,4,FALSE)+VLOOKUP(L12,L102:P105,5,FALSE)</f>
        <v>2460505.4512502346</v>
      </c>
      <c r="V108" s="66" t="s">
        <v>100</v>
      </c>
      <c r="W108" s="116">
        <f>W17+VLOOKUP(V12,V102:X105,3,FALSE)+VLOOKUP(V12,V102:Y105,4,FALSE)+VLOOKUP(V12,V102:Z105,5,FALSE)</f>
        <v>2460512.9293366508</v>
      </c>
      <c r="AF108" s="66" t="s">
        <v>100</v>
      </c>
      <c r="AG108" s="116">
        <f>AG17+VLOOKUP(AF12,AF102:AH105,3,FALSE)+VLOOKUP(AF12,AF102:AI105,4,FALSE)+VLOOKUP(AF12,AF102:AJ105,5,FALSE)</f>
        <v>2460519.6199821285</v>
      </c>
      <c r="AP108" s="66" t="s">
        <v>100</v>
      </c>
      <c r="AQ108" s="116">
        <f>AQ17+VLOOKUP(AP12,AP102:AR105,3,FALSE)+VLOOKUP(AP12,AP102:AS105,4,FALSE)+VLOOKUP(AP12,AP102:AT105,5,FALSE)</f>
        <v>2460526.9681622335</v>
      </c>
    </row>
    <row r="112" spans="2:46" x14ac:dyDescent="0.2">
      <c r="B112" s="157" t="s">
        <v>9</v>
      </c>
      <c r="C112" s="158">
        <f>'Moon Phases'!AA34</f>
        <v>0.56450102206084707</v>
      </c>
      <c r="D112" s="159"/>
      <c r="E112" s="160"/>
      <c r="F112" s="161"/>
    </row>
    <row r="113" spans="2:6" x14ac:dyDescent="0.2">
      <c r="B113" s="162" t="s">
        <v>31</v>
      </c>
      <c r="C113" s="159">
        <v>200</v>
      </c>
      <c r="D113" s="159"/>
      <c r="E113" s="159" t="s">
        <v>32</v>
      </c>
      <c r="F113" s="163">
        <f>MOD(360-Calculations!C112+180,360)</f>
        <v>179.43549897793923</v>
      </c>
    </row>
    <row r="114" spans="2:6" x14ac:dyDescent="0.2">
      <c r="B114" s="164" t="s">
        <v>33</v>
      </c>
      <c r="C114" s="165">
        <f>2/C113</f>
        <v>0.01</v>
      </c>
      <c r="D114" s="165"/>
      <c r="E114" s="165" t="s">
        <v>34</v>
      </c>
      <c r="F114" s="166">
        <f>COS(RADIANS(F113))</f>
        <v>-0.99995146548528291</v>
      </c>
    </row>
    <row r="115" spans="2:6" x14ac:dyDescent="0.2">
      <c r="B115" s="167"/>
      <c r="C115" s="168"/>
      <c r="D115" s="168"/>
      <c r="E115" s="168" t="s">
        <v>35</v>
      </c>
      <c r="F115" s="169">
        <f>ABS(F114)</f>
        <v>0.99995146548528291</v>
      </c>
    </row>
    <row r="116" spans="2:6" x14ac:dyDescent="0.2">
      <c r="B116" s="164"/>
      <c r="C116" s="165"/>
      <c r="D116" s="165"/>
      <c r="E116" s="165" t="s">
        <v>36</v>
      </c>
      <c r="F116" s="170">
        <v>1</v>
      </c>
    </row>
    <row r="117" spans="2:6" x14ac:dyDescent="0.2">
      <c r="B117" s="167"/>
      <c r="C117" s="168"/>
      <c r="D117" s="168"/>
      <c r="E117" s="168"/>
      <c r="F117" s="169"/>
    </row>
    <row r="118" spans="2:6" x14ac:dyDescent="0.2">
      <c r="B118" s="171" t="s">
        <v>3</v>
      </c>
      <c r="C118" s="172" t="s">
        <v>37</v>
      </c>
      <c r="D118" s="172" t="s">
        <v>38</v>
      </c>
      <c r="E118" s="172" t="s">
        <v>39</v>
      </c>
      <c r="F118" s="173" t="s">
        <v>40</v>
      </c>
    </row>
    <row r="119" spans="2:6" x14ac:dyDescent="0.2">
      <c r="B119" s="167">
        <v>-1</v>
      </c>
      <c r="C119" s="168">
        <f t="shared" ref="C119:C182" si="40">IFERROR(IF(SQRT(1-(B119*B119)/($F$115*$F$115))&lt;0.05,0,SQRT(1-(B119*B119)/($F$115*$F$115))),0)</f>
        <v>0</v>
      </c>
      <c r="D119" s="168">
        <f t="shared" ref="D119:D182" si="41">CHOOSE(MATCH($F$113,degrees),IF(B119&lt;0,IFERROR(1-C119,1),0),0,0,IF(B119&gt;0,IFERROR(1-C119,1),0))</f>
        <v>0</v>
      </c>
      <c r="E119" s="168">
        <f t="shared" ref="E119:E182" si="42">CHOOSE(MATCH($F$113,degrees),IF(B119&lt;0,2*C119,2),IF(B119&lt;0,0,1-C119),IF(B119&gt;0,0,1-C119),IF(B119&gt;0,2*C119,2))</f>
        <v>0</v>
      </c>
      <c r="F119" s="169">
        <f t="shared" ref="F119:F182" si="43">CHOOSE(MATCH($F$113,degrees),IF(B119&lt;0,C119+1,2),IF(B119&lt;0,2,2*C119),IF(B119&gt;0,2,2*C119),IF(B119&gt;0,C119+1,2))</f>
        <v>2</v>
      </c>
    </row>
    <row r="120" spans="2:6" x14ac:dyDescent="0.2">
      <c r="B120" s="167">
        <f t="shared" ref="B120:B151" si="44">B119+$C$114</f>
        <v>-0.99</v>
      </c>
      <c r="C120" s="168">
        <f t="shared" si="40"/>
        <v>0.14072972577829942</v>
      </c>
      <c r="D120" s="168">
        <f t="shared" si="41"/>
        <v>0</v>
      </c>
      <c r="E120" s="168">
        <f t="shared" si="42"/>
        <v>0</v>
      </c>
      <c r="F120" s="169">
        <f t="shared" si="43"/>
        <v>2</v>
      </c>
    </row>
    <row r="121" spans="2:6" x14ac:dyDescent="0.2">
      <c r="B121" s="167">
        <f t="shared" si="44"/>
        <v>-0.98</v>
      </c>
      <c r="C121" s="168">
        <f t="shared" si="40"/>
        <v>0.1987630954597461</v>
      </c>
      <c r="D121" s="168">
        <f t="shared" si="41"/>
        <v>0</v>
      </c>
      <c r="E121" s="168">
        <f t="shared" si="42"/>
        <v>0</v>
      </c>
      <c r="F121" s="169">
        <f t="shared" si="43"/>
        <v>2</v>
      </c>
    </row>
    <row r="122" spans="2:6" x14ac:dyDescent="0.2">
      <c r="B122" s="167">
        <f t="shared" si="44"/>
        <v>-0.97</v>
      </c>
      <c r="C122" s="168">
        <f t="shared" si="40"/>
        <v>0.242916983969062</v>
      </c>
      <c r="D122" s="168">
        <f t="shared" si="41"/>
        <v>0</v>
      </c>
      <c r="E122" s="168">
        <f t="shared" si="42"/>
        <v>0</v>
      </c>
      <c r="F122" s="169">
        <f t="shared" si="43"/>
        <v>2</v>
      </c>
    </row>
    <row r="123" spans="2:6" x14ac:dyDescent="0.2">
      <c r="B123" s="167">
        <f t="shared" si="44"/>
        <v>-0.96</v>
      </c>
      <c r="C123" s="168">
        <f t="shared" si="40"/>
        <v>0.27984019487788314</v>
      </c>
      <c r="D123" s="168">
        <f t="shared" si="41"/>
        <v>0</v>
      </c>
      <c r="E123" s="168">
        <f t="shared" si="42"/>
        <v>0</v>
      </c>
      <c r="F123" s="169">
        <f t="shared" si="43"/>
        <v>2</v>
      </c>
    </row>
    <row r="124" spans="2:6" x14ac:dyDescent="0.2">
      <c r="B124" s="167">
        <f t="shared" si="44"/>
        <v>-0.95</v>
      </c>
      <c r="C124" s="168">
        <f t="shared" si="40"/>
        <v>0.31210957822972751</v>
      </c>
      <c r="D124" s="168">
        <f t="shared" si="41"/>
        <v>0</v>
      </c>
      <c r="E124" s="168">
        <f t="shared" si="42"/>
        <v>0</v>
      </c>
      <c r="F124" s="169">
        <f t="shared" si="43"/>
        <v>2</v>
      </c>
    </row>
    <row r="125" spans="2:6" x14ac:dyDescent="0.2">
      <c r="B125" s="167">
        <f t="shared" si="44"/>
        <v>-0.94</v>
      </c>
      <c r="C125" s="168">
        <f t="shared" si="40"/>
        <v>0.34104871141959436</v>
      </c>
      <c r="D125" s="168">
        <f t="shared" si="41"/>
        <v>0</v>
      </c>
      <c r="E125" s="168">
        <f t="shared" si="42"/>
        <v>0</v>
      </c>
      <c r="F125" s="169">
        <f t="shared" si="43"/>
        <v>2</v>
      </c>
    </row>
    <row r="126" spans="2:6" x14ac:dyDescent="0.2">
      <c r="B126" s="167">
        <f t="shared" si="44"/>
        <v>-0.92999999999999994</v>
      </c>
      <c r="C126" s="168">
        <f t="shared" si="40"/>
        <v>0.36744528692578704</v>
      </c>
      <c r="D126" s="168">
        <f t="shared" si="41"/>
        <v>0</v>
      </c>
      <c r="E126" s="168">
        <f t="shared" si="42"/>
        <v>0</v>
      </c>
      <c r="F126" s="169">
        <f t="shared" si="43"/>
        <v>2</v>
      </c>
    </row>
    <row r="127" spans="2:6" x14ac:dyDescent="0.2">
      <c r="B127" s="167">
        <f t="shared" si="44"/>
        <v>-0.91999999999999993</v>
      </c>
      <c r="C127" s="168">
        <f t="shared" si="40"/>
        <v>0.39181352043001622</v>
      </c>
      <c r="D127" s="168">
        <f t="shared" si="41"/>
        <v>0</v>
      </c>
      <c r="E127" s="168">
        <f t="shared" si="42"/>
        <v>0</v>
      </c>
      <c r="F127" s="169">
        <f t="shared" si="43"/>
        <v>2</v>
      </c>
    </row>
    <row r="128" spans="2:6" x14ac:dyDescent="0.2">
      <c r="B128" s="167">
        <f t="shared" si="44"/>
        <v>-0.90999999999999992</v>
      </c>
      <c r="C128" s="168">
        <f t="shared" si="40"/>
        <v>0.4145112921071416</v>
      </c>
      <c r="D128" s="168">
        <f t="shared" si="41"/>
        <v>0</v>
      </c>
      <c r="E128" s="168">
        <f t="shared" si="42"/>
        <v>0</v>
      </c>
      <c r="F128" s="169">
        <f t="shared" si="43"/>
        <v>2</v>
      </c>
    </row>
    <row r="129" spans="2:6" x14ac:dyDescent="0.2">
      <c r="B129" s="167">
        <f t="shared" si="44"/>
        <v>-0.89999999999999991</v>
      </c>
      <c r="C129" s="168">
        <f t="shared" si="40"/>
        <v>0.43579968834509525</v>
      </c>
      <c r="D129" s="168">
        <f t="shared" si="41"/>
        <v>0</v>
      </c>
      <c r="E129" s="168">
        <f t="shared" si="42"/>
        <v>0</v>
      </c>
      <c r="F129" s="169">
        <f t="shared" si="43"/>
        <v>2</v>
      </c>
    </row>
    <row r="130" spans="2:6" x14ac:dyDescent="0.2">
      <c r="B130" s="167">
        <f t="shared" si="44"/>
        <v>-0.8899999999999999</v>
      </c>
      <c r="C130" s="168">
        <f t="shared" si="40"/>
        <v>0.45587619593899936</v>
      </c>
      <c r="D130" s="168">
        <f t="shared" si="41"/>
        <v>0</v>
      </c>
      <c r="E130" s="168">
        <f t="shared" si="42"/>
        <v>0</v>
      </c>
      <c r="F130" s="169">
        <f t="shared" si="43"/>
        <v>2</v>
      </c>
    </row>
    <row r="131" spans="2:6" x14ac:dyDescent="0.2">
      <c r="B131" s="167">
        <f t="shared" si="44"/>
        <v>-0.87999999999999989</v>
      </c>
      <c r="C131" s="168">
        <f t="shared" si="40"/>
        <v>0.47489454015678501</v>
      </c>
      <c r="D131" s="168">
        <f t="shared" si="41"/>
        <v>0</v>
      </c>
      <c r="E131" s="168">
        <f t="shared" si="42"/>
        <v>0</v>
      </c>
      <c r="F131" s="169">
        <f t="shared" si="43"/>
        <v>2</v>
      </c>
    </row>
    <row r="132" spans="2:6" x14ac:dyDescent="0.2">
      <c r="B132" s="167">
        <f t="shared" si="44"/>
        <v>-0.86999999999999988</v>
      </c>
      <c r="C132" s="168">
        <f t="shared" si="40"/>
        <v>0.49297720343076357</v>
      </c>
      <c r="D132" s="168">
        <f t="shared" si="41"/>
        <v>0</v>
      </c>
      <c r="E132" s="168">
        <f t="shared" si="42"/>
        <v>0</v>
      </c>
      <c r="F132" s="169">
        <f t="shared" si="43"/>
        <v>2</v>
      </c>
    </row>
    <row r="133" spans="2:6" x14ac:dyDescent="0.2">
      <c r="B133" s="167">
        <f t="shared" si="44"/>
        <v>-0.85999999999999988</v>
      </c>
      <c r="C133" s="168">
        <f t="shared" si="40"/>
        <v>0.51022367890846565</v>
      </c>
      <c r="D133" s="168">
        <f t="shared" si="41"/>
        <v>0</v>
      </c>
      <c r="E133" s="168">
        <f t="shared" si="42"/>
        <v>0</v>
      </c>
      <c r="F133" s="169">
        <f t="shared" si="43"/>
        <v>2</v>
      </c>
    </row>
    <row r="134" spans="2:6" x14ac:dyDescent="0.2">
      <c r="B134" s="167">
        <f t="shared" si="44"/>
        <v>-0.84999999999999987</v>
      </c>
      <c r="C134" s="168">
        <f t="shared" si="40"/>
        <v>0.52671611188584544</v>
      </c>
      <c r="D134" s="168">
        <f t="shared" si="41"/>
        <v>0</v>
      </c>
      <c r="E134" s="168">
        <f t="shared" si="42"/>
        <v>0</v>
      </c>
      <c r="F134" s="169">
        <f t="shared" si="43"/>
        <v>2</v>
      </c>
    </row>
    <row r="135" spans="2:6" x14ac:dyDescent="0.2">
      <c r="B135" s="167">
        <f t="shared" si="44"/>
        <v>-0.83999999999999986</v>
      </c>
      <c r="C135" s="168">
        <f t="shared" si="40"/>
        <v>0.5425232742529823</v>
      </c>
      <c r="D135" s="168">
        <f t="shared" si="41"/>
        <v>0</v>
      </c>
      <c r="E135" s="168">
        <f t="shared" si="42"/>
        <v>0</v>
      </c>
      <c r="F135" s="169">
        <f t="shared" si="43"/>
        <v>2</v>
      </c>
    </row>
    <row r="136" spans="2:6" x14ac:dyDescent="0.2">
      <c r="B136" s="167">
        <f t="shared" si="44"/>
        <v>-0.82999999999999985</v>
      </c>
      <c r="C136" s="168">
        <f t="shared" si="40"/>
        <v>0.55770343756963825</v>
      </c>
      <c r="D136" s="168">
        <f t="shared" si="41"/>
        <v>0</v>
      </c>
      <c r="E136" s="168">
        <f t="shared" si="42"/>
        <v>0</v>
      </c>
      <c r="F136" s="169">
        <f t="shared" si="43"/>
        <v>2</v>
      </c>
    </row>
    <row r="137" spans="2:6" x14ac:dyDescent="0.2">
      <c r="B137" s="167">
        <f t="shared" si="44"/>
        <v>-0.81999999999999984</v>
      </c>
      <c r="C137" s="168">
        <f t="shared" si="40"/>
        <v>0.57230649658429233</v>
      </c>
      <c r="D137" s="168">
        <f t="shared" si="41"/>
        <v>0</v>
      </c>
      <c r="E137" s="168">
        <f t="shared" si="42"/>
        <v>0</v>
      </c>
      <c r="F137" s="169">
        <f t="shared" si="43"/>
        <v>2</v>
      </c>
    </row>
    <row r="138" spans="2:6" x14ac:dyDescent="0.2">
      <c r="B138" s="167">
        <f t="shared" si="44"/>
        <v>-0.80999999999999983</v>
      </c>
      <c r="C138" s="168">
        <f t="shared" si="40"/>
        <v>0.58637556938617652</v>
      </c>
      <c r="D138" s="168">
        <f t="shared" si="41"/>
        <v>0</v>
      </c>
      <c r="E138" s="168">
        <f t="shared" si="42"/>
        <v>0</v>
      </c>
      <c r="F138" s="169">
        <f t="shared" si="43"/>
        <v>2</v>
      </c>
    </row>
    <row r="139" spans="2:6" x14ac:dyDescent="0.2">
      <c r="B139" s="167">
        <f t="shared" si="44"/>
        <v>-0.79999999999999982</v>
      </c>
      <c r="C139" s="168">
        <f t="shared" si="40"/>
        <v>0.59994822384779134</v>
      </c>
      <c r="D139" s="168">
        <f t="shared" si="41"/>
        <v>0</v>
      </c>
      <c r="E139" s="168">
        <f t="shared" si="42"/>
        <v>0</v>
      </c>
      <c r="F139" s="169">
        <f t="shared" si="43"/>
        <v>2</v>
      </c>
    </row>
    <row r="140" spans="2:6" x14ac:dyDescent="0.2">
      <c r="B140" s="167">
        <f t="shared" si="44"/>
        <v>-0.78999999999999981</v>
      </c>
      <c r="C140" s="168">
        <f t="shared" si="40"/>
        <v>0.61305743190019057</v>
      </c>
      <c r="D140" s="168">
        <f t="shared" si="41"/>
        <v>0</v>
      </c>
      <c r="E140" s="168">
        <f t="shared" si="42"/>
        <v>0</v>
      </c>
      <c r="F140" s="169">
        <f t="shared" si="43"/>
        <v>2</v>
      </c>
    </row>
    <row r="141" spans="2:6" x14ac:dyDescent="0.2">
      <c r="B141" s="167">
        <f t="shared" si="44"/>
        <v>-0.7799999999999998</v>
      </c>
      <c r="C141" s="168">
        <f t="shared" si="40"/>
        <v>0.62573232208571006</v>
      </c>
      <c r="D141" s="168">
        <f t="shared" si="41"/>
        <v>0</v>
      </c>
      <c r="E141" s="168">
        <f t="shared" si="42"/>
        <v>0</v>
      </c>
      <c r="F141" s="169">
        <f t="shared" si="43"/>
        <v>2</v>
      </c>
    </row>
    <row r="142" spans="2:6" x14ac:dyDescent="0.2">
      <c r="B142" s="167">
        <f t="shared" si="44"/>
        <v>-0.7699999999999998</v>
      </c>
      <c r="C142" s="168">
        <f t="shared" si="40"/>
        <v>0.63799878023572554</v>
      </c>
      <c r="D142" s="168">
        <f t="shared" si="41"/>
        <v>0</v>
      </c>
      <c r="E142" s="168">
        <f t="shared" si="42"/>
        <v>0</v>
      </c>
      <c r="F142" s="169">
        <f t="shared" si="43"/>
        <v>2</v>
      </c>
    </row>
    <row r="143" spans="2:6" x14ac:dyDescent="0.2">
      <c r="B143" s="167">
        <f t="shared" si="44"/>
        <v>-0.75999999999999979</v>
      </c>
      <c r="C143" s="168">
        <f t="shared" si="40"/>
        <v>0.64987993417750078</v>
      </c>
      <c r="D143" s="168">
        <f t="shared" si="41"/>
        <v>0</v>
      </c>
      <c r="E143" s="168">
        <f t="shared" si="42"/>
        <v>0</v>
      </c>
      <c r="F143" s="169">
        <f t="shared" si="43"/>
        <v>2</v>
      </c>
    </row>
    <row r="144" spans="2:6" x14ac:dyDescent="0.2">
      <c r="B144" s="167">
        <f t="shared" si="44"/>
        <v>-0.74999999999999978</v>
      </c>
      <c r="C144" s="168">
        <f t="shared" si="40"/>
        <v>0.66139654874788456</v>
      </c>
      <c r="D144" s="168">
        <f t="shared" si="41"/>
        <v>0</v>
      </c>
      <c r="E144" s="168">
        <f t="shared" si="42"/>
        <v>0</v>
      </c>
      <c r="F144" s="169">
        <f t="shared" si="43"/>
        <v>2</v>
      </c>
    </row>
    <row r="145" spans="2:6" x14ac:dyDescent="0.2">
      <c r="B145" s="167">
        <f t="shared" si="44"/>
        <v>-0.73999999999999977</v>
      </c>
      <c r="C145" s="168">
        <f t="shared" si="40"/>
        <v>0.67256735062702344</v>
      </c>
      <c r="D145" s="168">
        <f t="shared" si="41"/>
        <v>0</v>
      </c>
      <c r="E145" s="168">
        <f t="shared" si="42"/>
        <v>0</v>
      </c>
      <c r="F145" s="169">
        <f t="shared" si="43"/>
        <v>2</v>
      </c>
    </row>
    <row r="146" spans="2:6" x14ac:dyDescent="0.2">
      <c r="B146" s="167">
        <f t="shared" si="44"/>
        <v>-0.72999999999999976</v>
      </c>
      <c r="C146" s="168">
        <f t="shared" si="40"/>
        <v>0.68340929767458891</v>
      </c>
      <c r="D146" s="168">
        <f t="shared" si="41"/>
        <v>0</v>
      </c>
      <c r="E146" s="168">
        <f t="shared" si="42"/>
        <v>0</v>
      </c>
      <c r="F146" s="169">
        <f t="shared" si="43"/>
        <v>2</v>
      </c>
    </row>
    <row r="147" spans="2:6" x14ac:dyDescent="0.2">
      <c r="B147" s="167">
        <f t="shared" si="44"/>
        <v>-0.71999999999999975</v>
      </c>
      <c r="C147" s="168">
        <f t="shared" si="40"/>
        <v>0.69393780395038063</v>
      </c>
      <c r="D147" s="168">
        <f t="shared" si="41"/>
        <v>0</v>
      </c>
      <c r="E147" s="168">
        <f t="shared" si="42"/>
        <v>0</v>
      </c>
      <c r="F147" s="169">
        <f t="shared" si="43"/>
        <v>2</v>
      </c>
    </row>
    <row r="148" spans="2:6" x14ac:dyDescent="0.2">
      <c r="B148" s="167">
        <f t="shared" si="44"/>
        <v>-0.70999999999999974</v>
      </c>
      <c r="C148" s="168">
        <f t="shared" si="40"/>
        <v>0.70416692903008415</v>
      </c>
      <c r="D148" s="168">
        <f t="shared" si="41"/>
        <v>0</v>
      </c>
      <c r="E148" s="168">
        <f t="shared" si="42"/>
        <v>0</v>
      </c>
      <c r="F148" s="169">
        <f t="shared" si="43"/>
        <v>2</v>
      </c>
    </row>
    <row r="149" spans="2:6" x14ac:dyDescent="0.2">
      <c r="B149" s="167">
        <f t="shared" si="44"/>
        <v>-0.69999999999999973</v>
      </c>
      <c r="C149" s="168">
        <f t="shared" si="40"/>
        <v>0.71410953831511226</v>
      </c>
      <c r="D149" s="168">
        <f t="shared" si="41"/>
        <v>0</v>
      </c>
      <c r="E149" s="168">
        <f t="shared" si="42"/>
        <v>0</v>
      </c>
      <c r="F149" s="169">
        <f t="shared" si="43"/>
        <v>2</v>
      </c>
    </row>
    <row r="150" spans="2:6" x14ac:dyDescent="0.2">
      <c r="B150" s="167">
        <f t="shared" si="44"/>
        <v>-0.68999999999999972</v>
      </c>
      <c r="C150" s="168">
        <f t="shared" si="40"/>
        <v>0.72377743959753738</v>
      </c>
      <c r="D150" s="168">
        <f t="shared" si="41"/>
        <v>0</v>
      </c>
      <c r="E150" s="168">
        <f t="shared" si="42"/>
        <v>0</v>
      </c>
      <c r="F150" s="169">
        <f t="shared" si="43"/>
        <v>2</v>
      </c>
    </row>
    <row r="151" spans="2:6" x14ac:dyDescent="0.2">
      <c r="B151" s="167">
        <f t="shared" si="44"/>
        <v>-0.67999999999999972</v>
      </c>
      <c r="C151" s="168">
        <f t="shared" si="40"/>
        <v>0.73318150004817462</v>
      </c>
      <c r="D151" s="168">
        <f t="shared" si="41"/>
        <v>0</v>
      </c>
      <c r="E151" s="168">
        <f t="shared" si="42"/>
        <v>0</v>
      </c>
      <c r="F151" s="169">
        <f t="shared" si="43"/>
        <v>2</v>
      </c>
    </row>
    <row r="152" spans="2:6" x14ac:dyDescent="0.2">
      <c r="B152" s="167">
        <f t="shared" ref="B152:B183" si="45">B151+$C$114</f>
        <v>-0.66999999999999971</v>
      </c>
      <c r="C152" s="168">
        <f t="shared" si="40"/>
        <v>0.74233174695697668</v>
      </c>
      <c r="D152" s="168">
        <f t="shared" si="41"/>
        <v>0</v>
      </c>
      <c r="E152" s="168">
        <f t="shared" si="42"/>
        <v>0</v>
      </c>
      <c r="F152" s="169">
        <f t="shared" si="43"/>
        <v>2</v>
      </c>
    </row>
    <row r="153" spans="2:6" x14ac:dyDescent="0.2">
      <c r="B153" s="167">
        <f t="shared" si="45"/>
        <v>-0.6599999999999997</v>
      </c>
      <c r="C153" s="168">
        <f t="shared" si="40"/>
        <v>0.75123745490509375</v>
      </c>
      <c r="D153" s="168">
        <f t="shared" si="41"/>
        <v>0</v>
      </c>
      <c r="E153" s="168">
        <f t="shared" si="42"/>
        <v>0</v>
      </c>
      <c r="F153" s="169">
        <f t="shared" si="43"/>
        <v>2</v>
      </c>
    </row>
    <row r="154" spans="2:6" x14ac:dyDescent="0.2">
      <c r="B154" s="167">
        <f t="shared" si="45"/>
        <v>-0.64999999999999969</v>
      </c>
      <c r="C154" s="168">
        <f t="shared" si="40"/>
        <v>0.75990722154033341</v>
      </c>
      <c r="D154" s="168">
        <f t="shared" si="41"/>
        <v>0</v>
      </c>
      <c r="E154" s="168">
        <f t="shared" si="42"/>
        <v>0</v>
      </c>
      <c r="F154" s="169">
        <f t="shared" si="43"/>
        <v>2</v>
      </c>
    </row>
    <row r="155" spans="2:6" x14ac:dyDescent="0.2">
      <c r="B155" s="167">
        <f t="shared" si="45"/>
        <v>-0.63999999999999968</v>
      </c>
      <c r="C155" s="168">
        <f t="shared" si="40"/>
        <v>0.76834903372802954</v>
      </c>
      <c r="D155" s="168">
        <f t="shared" si="41"/>
        <v>0</v>
      </c>
      <c r="E155" s="168">
        <f t="shared" si="42"/>
        <v>0</v>
      </c>
      <c r="F155" s="169">
        <f t="shared" si="43"/>
        <v>2</v>
      </c>
    </row>
    <row r="156" spans="2:6" x14ac:dyDescent="0.2">
      <c r="B156" s="167">
        <f t="shared" si="45"/>
        <v>-0.62999999999999967</v>
      </c>
      <c r="C156" s="168">
        <f t="shared" si="40"/>
        <v>0.77657032553222416</v>
      </c>
      <c r="D156" s="168">
        <f t="shared" si="41"/>
        <v>0</v>
      </c>
      <c r="E156" s="168">
        <f t="shared" si="42"/>
        <v>0</v>
      </c>
      <c r="F156" s="169">
        <f t="shared" si="43"/>
        <v>2</v>
      </c>
    </row>
    <row r="157" spans="2:6" x14ac:dyDescent="0.2">
      <c r="B157" s="167">
        <f t="shared" si="45"/>
        <v>-0.61999999999999966</v>
      </c>
      <c r="C157" s="168">
        <f t="shared" si="40"/>
        <v>0.78457802922872699</v>
      </c>
      <c r="D157" s="168">
        <f t="shared" si="41"/>
        <v>0</v>
      </c>
      <c r="E157" s="168">
        <f t="shared" si="42"/>
        <v>0</v>
      </c>
      <c r="F157" s="169">
        <f t="shared" si="43"/>
        <v>2</v>
      </c>
    </row>
    <row r="158" spans="2:6" x14ac:dyDescent="0.2">
      <c r="B158" s="167">
        <f t="shared" si="45"/>
        <v>-0.60999999999999965</v>
      </c>
      <c r="C158" s="168">
        <f t="shared" si="40"/>
        <v>0.79237862034788809</v>
      </c>
      <c r="D158" s="168">
        <f t="shared" si="41"/>
        <v>0</v>
      </c>
      <c r="E158" s="168">
        <f t="shared" si="42"/>
        <v>0</v>
      </c>
      <c r="F158" s="169">
        <f t="shared" si="43"/>
        <v>2</v>
      </c>
    </row>
    <row r="159" spans="2:6" x14ac:dyDescent="0.2">
      <c r="B159" s="167">
        <f t="shared" si="45"/>
        <v>-0.59999999999999964</v>
      </c>
      <c r="C159" s="168">
        <f t="shared" si="40"/>
        <v>0.79997815758006319</v>
      </c>
      <c r="D159" s="168">
        <f t="shared" si="41"/>
        <v>0</v>
      </c>
      <c r="E159" s="168">
        <f t="shared" si="42"/>
        <v>0</v>
      </c>
      <c r="F159" s="169">
        <f t="shared" si="43"/>
        <v>2</v>
      </c>
    </row>
    <row r="160" spans="2:6" x14ac:dyDescent="0.2">
      <c r="B160" s="167">
        <f t="shared" si="45"/>
        <v>-0.58999999999999964</v>
      </c>
      <c r="C160" s="168">
        <f t="shared" si="40"/>
        <v>0.8073823182425679</v>
      </c>
      <c r="D160" s="168">
        <f t="shared" si="41"/>
        <v>0</v>
      </c>
      <c r="E160" s="168">
        <f t="shared" si="42"/>
        <v>0</v>
      </c>
      <c r="F160" s="169">
        <f t="shared" si="43"/>
        <v>2</v>
      </c>
    </row>
    <row r="161" spans="2:6" x14ac:dyDescent="0.2">
      <c r="B161" s="167">
        <f t="shared" si="45"/>
        <v>-0.57999999999999963</v>
      </c>
      <c r="C161" s="168">
        <f t="shared" si="40"/>
        <v>0.81459642989708358</v>
      </c>
      <c r="D161" s="168">
        <f t="shared" si="41"/>
        <v>0</v>
      </c>
      <c r="E161" s="168">
        <f t="shared" si="42"/>
        <v>0</v>
      </c>
      <c r="F161" s="169">
        <f t="shared" si="43"/>
        <v>2</v>
      </c>
    </row>
    <row r="162" spans="2:6" x14ac:dyDescent="0.2">
      <c r="B162" s="167">
        <f t="shared" si="45"/>
        <v>-0.56999999999999962</v>
      </c>
      <c r="C162" s="168">
        <f t="shared" si="40"/>
        <v>0.821625498616119</v>
      </c>
      <c r="D162" s="168">
        <f t="shared" si="41"/>
        <v>0</v>
      </c>
      <c r="E162" s="168">
        <f t="shared" si="42"/>
        <v>0</v>
      </c>
      <c r="F162" s="169">
        <f t="shared" si="43"/>
        <v>2</v>
      </c>
    </row>
    <row r="163" spans="2:6" x14ac:dyDescent="0.2">
      <c r="B163" s="167">
        <f t="shared" si="45"/>
        <v>-0.55999999999999961</v>
      </c>
      <c r="C163" s="168">
        <f t="shared" si="40"/>
        <v>0.82847423432239509</v>
      </c>
      <c r="D163" s="168">
        <f t="shared" si="41"/>
        <v>0</v>
      </c>
      <c r="E163" s="168">
        <f t="shared" si="42"/>
        <v>0</v>
      </c>
      <c r="F163" s="169">
        <f t="shared" si="43"/>
        <v>2</v>
      </c>
    </row>
    <row r="164" spans="2:6" x14ac:dyDescent="0.2">
      <c r="B164" s="167">
        <f t="shared" si="45"/>
        <v>-0.5499999999999996</v>
      </c>
      <c r="C164" s="168">
        <f t="shared" si="40"/>
        <v>0.8351470735629456</v>
      </c>
      <c r="D164" s="168">
        <f t="shared" si="41"/>
        <v>0</v>
      </c>
      <c r="E164" s="168">
        <f t="shared" si="42"/>
        <v>0</v>
      </c>
      <c r="F164" s="169">
        <f t="shared" si="43"/>
        <v>2</v>
      </c>
    </row>
    <row r="165" spans="2:6" x14ac:dyDescent="0.2">
      <c r="B165" s="167">
        <f t="shared" si="45"/>
        <v>-0.53999999999999959</v>
      </c>
      <c r="C165" s="168">
        <f t="shared" si="40"/>
        <v>0.84164820002790119</v>
      </c>
      <c r="D165" s="168">
        <f t="shared" si="41"/>
        <v>0</v>
      </c>
      <c r="E165" s="168">
        <f t="shared" si="42"/>
        <v>0</v>
      </c>
      <c r="F165" s="169">
        <f t="shared" si="43"/>
        <v>2</v>
      </c>
    </row>
    <row r="166" spans="2:6" x14ac:dyDescent="0.2">
      <c r="B166" s="167">
        <f t="shared" si="45"/>
        <v>-0.52999999999999958</v>
      </c>
      <c r="C166" s="168">
        <f t="shared" si="40"/>
        <v>0.84798156308049555</v>
      </c>
      <c r="D166" s="168">
        <f t="shared" si="41"/>
        <v>0</v>
      </c>
      <c r="E166" s="168">
        <f t="shared" si="42"/>
        <v>0</v>
      </c>
      <c r="F166" s="169">
        <f t="shared" si="43"/>
        <v>2</v>
      </c>
    </row>
    <row r="167" spans="2:6" x14ac:dyDescent="0.2">
      <c r="B167" s="167">
        <f t="shared" si="45"/>
        <v>-0.51999999999999957</v>
      </c>
      <c r="C167" s="168">
        <f t="shared" si="40"/>
        <v>0.85415089452827708</v>
      </c>
      <c r="D167" s="168">
        <f t="shared" si="41"/>
        <v>0</v>
      </c>
      <c r="E167" s="168">
        <f t="shared" si="42"/>
        <v>0</v>
      </c>
      <c r="F167" s="169">
        <f t="shared" si="43"/>
        <v>2</v>
      </c>
    </row>
    <row r="168" spans="2:6" x14ac:dyDescent="0.2">
      <c r="B168" s="167">
        <f t="shared" si="45"/>
        <v>-0.50999999999999956</v>
      </c>
      <c r="C168" s="168">
        <f t="shared" si="40"/>
        <v>0.86015972383462103</v>
      </c>
      <c r="D168" s="168">
        <f t="shared" si="41"/>
        <v>0</v>
      </c>
      <c r="E168" s="168">
        <f t="shared" si="42"/>
        <v>0</v>
      </c>
      <c r="F168" s="169">
        <f t="shared" si="43"/>
        <v>2</v>
      </c>
    </row>
    <row r="169" spans="2:6" x14ac:dyDescent="0.2">
      <c r="B169" s="167">
        <f t="shared" si="45"/>
        <v>-0.49999999999999956</v>
      </c>
      <c r="C169" s="168">
        <f t="shared" si="40"/>
        <v>0.86601139194344801</v>
      </c>
      <c r="D169" s="168">
        <f t="shared" si="41"/>
        <v>0</v>
      </c>
      <c r="E169" s="168">
        <f t="shared" si="42"/>
        <v>0</v>
      </c>
      <c r="F169" s="169">
        <f t="shared" si="43"/>
        <v>2</v>
      </c>
    </row>
    <row r="170" spans="2:6" x14ac:dyDescent="0.2">
      <c r="B170" s="167">
        <f t="shared" si="45"/>
        <v>-0.48999999999999955</v>
      </c>
      <c r="C170" s="168">
        <f t="shared" si="40"/>
        <v>0.87170906386774794</v>
      </c>
      <c r="D170" s="168">
        <f t="shared" si="41"/>
        <v>0</v>
      </c>
      <c r="E170" s="168">
        <f t="shared" si="42"/>
        <v>0</v>
      </c>
      <c r="F170" s="169">
        <f t="shared" si="43"/>
        <v>2</v>
      </c>
    </row>
    <row r="171" spans="2:6" x14ac:dyDescent="0.2">
      <c r="B171" s="167">
        <f t="shared" si="45"/>
        <v>-0.47999999999999954</v>
      </c>
      <c r="C171" s="168">
        <f t="shared" si="40"/>
        <v>0.87725574017348174</v>
      </c>
      <c r="D171" s="168">
        <f t="shared" si="41"/>
        <v>0</v>
      </c>
      <c r="E171" s="168">
        <f t="shared" si="42"/>
        <v>0</v>
      </c>
      <c r="F171" s="169">
        <f t="shared" si="43"/>
        <v>2</v>
      </c>
    </row>
    <row r="172" spans="2:6" x14ac:dyDescent="0.2">
      <c r="B172" s="167">
        <f t="shared" si="45"/>
        <v>-0.46999999999999953</v>
      </c>
      <c r="C172" s="168">
        <f t="shared" si="40"/>
        <v>0.88265426747410103</v>
      </c>
      <c r="D172" s="168">
        <f t="shared" si="41"/>
        <v>0</v>
      </c>
      <c r="E172" s="168">
        <f t="shared" si="42"/>
        <v>0</v>
      </c>
      <c r="F172" s="169">
        <f t="shared" si="43"/>
        <v>2</v>
      </c>
    </row>
    <row r="173" spans="2:6" x14ac:dyDescent="0.2">
      <c r="B173" s="167">
        <f t="shared" si="45"/>
        <v>-0.45999999999999952</v>
      </c>
      <c r="C173" s="168">
        <f t="shared" si="40"/>
        <v>0.88790734803691151</v>
      </c>
      <c r="D173" s="168">
        <f t="shared" si="41"/>
        <v>0</v>
      </c>
      <c r="E173" s="168">
        <f t="shared" si="42"/>
        <v>0</v>
      </c>
      <c r="F173" s="169">
        <f t="shared" si="43"/>
        <v>2</v>
      </c>
    </row>
    <row r="174" spans="2:6" x14ac:dyDescent="0.2">
      <c r="B174" s="167">
        <f t="shared" si="45"/>
        <v>-0.44999999999999951</v>
      </c>
      <c r="C174" s="168">
        <f t="shared" si="40"/>
        <v>0.89301754859040761</v>
      </c>
      <c r="D174" s="168">
        <f t="shared" si="41"/>
        <v>0</v>
      </c>
      <c r="E174" s="168">
        <f t="shared" si="42"/>
        <v>0</v>
      </c>
      <c r="F174" s="169">
        <f t="shared" si="43"/>
        <v>2</v>
      </c>
    </row>
    <row r="175" spans="2:6" x14ac:dyDescent="0.2">
      <c r="B175" s="167">
        <f t="shared" si="45"/>
        <v>-0.4399999999999995</v>
      </c>
      <c r="C175" s="168">
        <f t="shared" si="40"/>
        <v>0.89798730841125007</v>
      </c>
      <c r="D175" s="168">
        <f t="shared" si="41"/>
        <v>0</v>
      </c>
      <c r="E175" s="168">
        <f t="shared" si="42"/>
        <v>0</v>
      </c>
      <c r="F175" s="169">
        <f t="shared" si="43"/>
        <v>2</v>
      </c>
    </row>
    <row r="176" spans="2:6" x14ac:dyDescent="0.2">
      <c r="B176" s="167">
        <f t="shared" si="45"/>
        <v>-0.42999999999999949</v>
      </c>
      <c r="C176" s="168">
        <f t="shared" si="40"/>
        <v>0.90281894676049124</v>
      </c>
      <c r="D176" s="168">
        <f t="shared" si="41"/>
        <v>0</v>
      </c>
      <c r="E176" s="168">
        <f t="shared" si="42"/>
        <v>0</v>
      </c>
      <c r="F176" s="169">
        <f t="shared" si="43"/>
        <v>2</v>
      </c>
    </row>
    <row r="177" spans="2:6" x14ac:dyDescent="0.2">
      <c r="B177" s="167">
        <f t="shared" si="45"/>
        <v>-0.41999999999999948</v>
      </c>
      <c r="C177" s="168">
        <f t="shared" si="40"/>
        <v>0.90751466973076778</v>
      </c>
      <c r="D177" s="168">
        <f t="shared" si="41"/>
        <v>0</v>
      </c>
      <c r="E177" s="168">
        <f t="shared" si="42"/>
        <v>0</v>
      </c>
      <c r="F177" s="169">
        <f t="shared" si="43"/>
        <v>2</v>
      </c>
    </row>
    <row r="178" spans="2:6" x14ac:dyDescent="0.2">
      <c r="B178" s="167">
        <f t="shared" si="45"/>
        <v>-0.40999999999999948</v>
      </c>
      <c r="C178" s="168">
        <f t="shared" si="40"/>
        <v>0.91207657655930785</v>
      </c>
      <c r="D178" s="168">
        <f t="shared" si="41"/>
        <v>0</v>
      </c>
      <c r="E178" s="168">
        <f t="shared" si="42"/>
        <v>0</v>
      </c>
      <c r="F178" s="169">
        <f t="shared" si="43"/>
        <v>2</v>
      </c>
    </row>
    <row r="179" spans="2:6" x14ac:dyDescent="0.2">
      <c r="B179" s="167">
        <f t="shared" si="45"/>
        <v>-0.39999999999999947</v>
      </c>
      <c r="C179" s="168">
        <f t="shared" si="40"/>
        <v>0.91650666545559301</v>
      </c>
      <c r="D179" s="168">
        <f t="shared" si="41"/>
        <v>0</v>
      </c>
      <c r="E179" s="168">
        <f t="shared" si="42"/>
        <v>0</v>
      </c>
      <c r="F179" s="169">
        <f t="shared" si="43"/>
        <v>2</v>
      </c>
    </row>
    <row r="180" spans="2:6" x14ac:dyDescent="0.2">
      <c r="B180" s="167">
        <f t="shared" si="45"/>
        <v>-0.38999999999999946</v>
      </c>
      <c r="C180" s="168">
        <f t="shared" si="40"/>
        <v>0.92080683898725146</v>
      </c>
      <c r="D180" s="168">
        <f t="shared" si="41"/>
        <v>0</v>
      </c>
      <c r="E180" s="168">
        <f t="shared" si="42"/>
        <v>0</v>
      </c>
      <c r="F180" s="169">
        <f t="shared" si="43"/>
        <v>2</v>
      </c>
    </row>
    <row r="181" spans="2:6" x14ac:dyDescent="0.2">
      <c r="B181" s="167">
        <f t="shared" si="45"/>
        <v>-0.37999999999999945</v>
      </c>
      <c r="C181" s="168">
        <f t="shared" si="40"/>
        <v>0.92497890906314106</v>
      </c>
      <c r="D181" s="168">
        <f t="shared" si="41"/>
        <v>0</v>
      </c>
      <c r="E181" s="168">
        <f t="shared" si="42"/>
        <v>0</v>
      </c>
      <c r="F181" s="169">
        <f t="shared" si="43"/>
        <v>2</v>
      </c>
    </row>
    <row r="182" spans="2:6" x14ac:dyDescent="0.2">
      <c r="B182" s="167">
        <f t="shared" si="45"/>
        <v>-0.36999999999999944</v>
      </c>
      <c r="C182" s="168">
        <f t="shared" si="40"/>
        <v>0.92902460154850786</v>
      </c>
      <c r="D182" s="168">
        <f t="shared" si="41"/>
        <v>0</v>
      </c>
      <c r="E182" s="168">
        <f t="shared" si="42"/>
        <v>0</v>
      </c>
      <c r="F182" s="169">
        <f t="shared" si="43"/>
        <v>2</v>
      </c>
    </row>
    <row r="183" spans="2:6" x14ac:dyDescent="0.2">
      <c r="B183" s="167">
        <f t="shared" si="45"/>
        <v>-0.35999999999999943</v>
      </c>
      <c r="C183" s="168">
        <f t="shared" ref="C183:C246" si="46">IFERROR(IF(SQRT(1-(B183*B183)/($F$115*$F$115))&lt;0.05,0,SQRT(1-(B183*B183)/($F$115*$F$115))),0)</f>
        <v>0.93294556054352362</v>
      </c>
      <c r="D183" s="168">
        <f t="shared" ref="D183:D246" si="47">CHOOSE(MATCH($F$113,degrees),IF(B183&lt;0,IFERROR(1-C183,1),0),0,0,IF(B183&gt;0,IFERROR(1-C183,1),0))</f>
        <v>0</v>
      </c>
      <c r="E183" s="168">
        <f t="shared" ref="E183:E246" si="48">CHOOSE(MATCH($F$113,degrees),IF(B183&lt;0,2*C183,2),IF(B183&lt;0,0,1-C183),IF(B183&gt;0,0,1-C183),IF(B183&gt;0,2*C183,2))</f>
        <v>0</v>
      </c>
      <c r="F183" s="169">
        <f t="shared" ref="F183:F246" si="49">CHOOSE(MATCH($F$113,degrees),IF(B183&lt;0,C183+1,2),IF(B183&lt;0,2,2*C183),IF(B183&gt;0,2,2*C183),IF(B183&gt;0,C183+1,2))</f>
        <v>2</v>
      </c>
    </row>
    <row r="184" spans="2:6" x14ac:dyDescent="0.2">
      <c r="B184" s="167">
        <f t="shared" ref="B184:B215" si="50">B183+$C$114</f>
        <v>-0.34999999999999942</v>
      </c>
      <c r="C184" s="168">
        <f t="shared" si="46"/>
        <v>0.93674335235333062</v>
      </c>
      <c r="D184" s="168">
        <f t="shared" si="47"/>
        <v>0</v>
      </c>
      <c r="E184" s="168">
        <f t="shared" si="48"/>
        <v>0</v>
      </c>
      <c r="F184" s="169">
        <f t="shared" si="49"/>
        <v>2</v>
      </c>
    </row>
    <row r="185" spans="2:6" x14ac:dyDescent="0.2">
      <c r="B185" s="167">
        <f t="shared" si="50"/>
        <v>-0.33999999999999941</v>
      </c>
      <c r="C185" s="168">
        <f t="shared" si="46"/>
        <v>0.94041946917491193</v>
      </c>
      <c r="D185" s="168">
        <f t="shared" si="47"/>
        <v>0</v>
      </c>
      <c r="E185" s="168">
        <f t="shared" si="48"/>
        <v>0</v>
      </c>
      <c r="F185" s="169">
        <f t="shared" si="49"/>
        <v>2</v>
      </c>
    </row>
    <row r="186" spans="2:6" x14ac:dyDescent="0.2">
      <c r="B186" s="167">
        <f t="shared" si="50"/>
        <v>-0.3299999999999994</v>
      </c>
      <c r="C186" s="168">
        <f t="shared" si="46"/>
        <v>0.94397533252361576</v>
      </c>
      <c r="D186" s="168">
        <f t="shared" si="47"/>
        <v>0</v>
      </c>
      <c r="E186" s="168">
        <f t="shared" si="48"/>
        <v>0</v>
      </c>
      <c r="F186" s="169">
        <f t="shared" si="49"/>
        <v>2</v>
      </c>
    </row>
    <row r="187" spans="2:6" x14ac:dyDescent="0.2">
      <c r="B187" s="167">
        <f t="shared" si="50"/>
        <v>-0.3199999999999994</v>
      </c>
      <c r="C187" s="168">
        <f t="shared" si="46"/>
        <v>0.94741229641993741</v>
      </c>
      <c r="D187" s="168">
        <f t="shared" si="47"/>
        <v>0</v>
      </c>
      <c r="E187" s="168">
        <f t="shared" si="48"/>
        <v>0</v>
      </c>
      <c r="F187" s="169">
        <f t="shared" si="49"/>
        <v>2</v>
      </c>
    </row>
    <row r="188" spans="2:6" x14ac:dyDescent="0.2">
      <c r="B188" s="167">
        <f t="shared" si="50"/>
        <v>-0.30999999999999939</v>
      </c>
      <c r="C188" s="168">
        <f t="shared" si="46"/>
        <v>0.9507316503551928</v>
      </c>
      <c r="D188" s="168">
        <f t="shared" si="47"/>
        <v>0</v>
      </c>
      <c r="E188" s="168">
        <f t="shared" si="48"/>
        <v>0</v>
      </c>
      <c r="F188" s="169">
        <f t="shared" si="49"/>
        <v>2</v>
      </c>
    </row>
    <row r="189" spans="2:6" x14ac:dyDescent="0.2">
      <c r="B189" s="167">
        <f t="shared" si="50"/>
        <v>-0.29999999999999938</v>
      </c>
      <c r="C189" s="168">
        <f t="shared" si="46"/>
        <v>0.95393462205294677</v>
      </c>
      <c r="D189" s="168">
        <f t="shared" si="47"/>
        <v>0</v>
      </c>
      <c r="E189" s="168">
        <f t="shared" si="48"/>
        <v>0</v>
      </c>
      <c r="F189" s="169">
        <f t="shared" si="49"/>
        <v>2</v>
      </c>
    </row>
    <row r="190" spans="2:6" x14ac:dyDescent="0.2">
      <c r="B190" s="167">
        <f t="shared" si="50"/>
        <v>-0.28999999999999937</v>
      </c>
      <c r="C190" s="168">
        <f t="shared" si="46"/>
        <v>0.9570223800414851</v>
      </c>
      <c r="D190" s="168">
        <f t="shared" si="47"/>
        <v>0</v>
      </c>
      <c r="E190" s="168">
        <f t="shared" si="48"/>
        <v>0</v>
      </c>
      <c r="F190" s="169">
        <f t="shared" si="49"/>
        <v>2</v>
      </c>
    </row>
    <row r="191" spans="2:6" x14ac:dyDescent="0.2">
      <c r="B191" s="167">
        <f t="shared" si="50"/>
        <v>-0.27999999999999936</v>
      </c>
      <c r="C191" s="168">
        <f t="shared" si="46"/>
        <v>0.95999603605120165</v>
      </c>
      <c r="D191" s="168">
        <f t="shared" si="47"/>
        <v>0</v>
      </c>
      <c r="E191" s="168">
        <f t="shared" si="48"/>
        <v>0</v>
      </c>
      <c r="F191" s="169">
        <f t="shared" si="49"/>
        <v>2</v>
      </c>
    </row>
    <row r="192" spans="2:6" x14ac:dyDescent="0.2">
      <c r="B192" s="167">
        <f t="shared" si="50"/>
        <v>-0.26999999999999935</v>
      </c>
      <c r="C192" s="168">
        <f t="shared" si="46"/>
        <v>0.96285664724950193</v>
      </c>
      <c r="D192" s="168">
        <f t="shared" si="47"/>
        <v>0</v>
      </c>
      <c r="E192" s="168">
        <f t="shared" si="48"/>
        <v>0</v>
      </c>
      <c r="F192" s="169">
        <f t="shared" si="49"/>
        <v>2</v>
      </c>
    </row>
    <row r="193" spans="2:6" x14ac:dyDescent="0.2">
      <c r="B193" s="167">
        <f t="shared" si="50"/>
        <v>-0.25999999999999934</v>
      </c>
      <c r="C193" s="168">
        <f t="shared" si="46"/>
        <v>0.96560521832468582</v>
      </c>
      <c r="D193" s="168">
        <f t="shared" si="47"/>
        <v>0</v>
      </c>
      <c r="E193" s="168">
        <f t="shared" si="48"/>
        <v>0</v>
      </c>
      <c r="F193" s="169">
        <f t="shared" si="49"/>
        <v>2</v>
      </c>
    </row>
    <row r="194" spans="2:6" x14ac:dyDescent="0.2">
      <c r="B194" s="167">
        <f t="shared" si="50"/>
        <v>-0.24999999999999933</v>
      </c>
      <c r="C194" s="168">
        <f t="shared" si="46"/>
        <v>0.96824270342923691</v>
      </c>
      <c r="D194" s="168">
        <f t="shared" si="47"/>
        <v>0</v>
      </c>
      <c r="E194" s="168">
        <f t="shared" si="48"/>
        <v>0</v>
      </c>
      <c r="F194" s="169">
        <f t="shared" si="49"/>
        <v>2</v>
      </c>
    </row>
    <row r="195" spans="2:6" x14ac:dyDescent="0.2">
      <c r="B195" s="167">
        <f t="shared" si="50"/>
        <v>-0.23999999999999932</v>
      </c>
      <c r="C195" s="168">
        <f t="shared" si="46"/>
        <v>0.97077000799202229</v>
      </c>
      <c r="D195" s="168">
        <f t="shared" si="47"/>
        <v>0</v>
      </c>
      <c r="E195" s="168">
        <f t="shared" si="48"/>
        <v>0</v>
      </c>
      <c r="F195" s="169">
        <f t="shared" si="49"/>
        <v>2</v>
      </c>
    </row>
    <row r="196" spans="2:6" x14ac:dyDescent="0.2">
      <c r="B196" s="167">
        <f t="shared" si="50"/>
        <v>-0.22999999999999932</v>
      </c>
      <c r="C196" s="168">
        <f t="shared" si="46"/>
        <v>0.9731879904080637</v>
      </c>
      <c r="D196" s="168">
        <f t="shared" si="47"/>
        <v>0</v>
      </c>
      <c r="E196" s="168">
        <f t="shared" si="48"/>
        <v>0</v>
      </c>
      <c r="F196" s="169">
        <f t="shared" si="49"/>
        <v>2</v>
      </c>
    </row>
    <row r="197" spans="2:6" x14ac:dyDescent="0.2">
      <c r="B197" s="167">
        <f t="shared" si="50"/>
        <v>-0.21999999999999931</v>
      </c>
      <c r="C197" s="168">
        <f t="shared" si="46"/>
        <v>0.97549746361378131</v>
      </c>
      <c r="D197" s="168">
        <f t="shared" si="47"/>
        <v>0</v>
      </c>
      <c r="E197" s="168">
        <f t="shared" si="48"/>
        <v>0</v>
      </c>
      <c r="F197" s="169">
        <f t="shared" si="49"/>
        <v>2</v>
      </c>
    </row>
    <row r="198" spans="2:6" x14ac:dyDescent="0.2">
      <c r="B198" s="167">
        <f t="shared" si="50"/>
        <v>-0.2099999999999993</v>
      </c>
      <c r="C198" s="168">
        <f t="shared" si="46"/>
        <v>0.9776991965549201</v>
      </c>
      <c r="D198" s="168">
        <f t="shared" si="47"/>
        <v>0</v>
      </c>
      <c r="E198" s="168">
        <f t="shared" si="48"/>
        <v>0</v>
      </c>
      <c r="F198" s="169">
        <f t="shared" si="49"/>
        <v>2</v>
      </c>
    </row>
    <row r="199" spans="2:6" x14ac:dyDescent="0.2">
      <c r="B199" s="167">
        <f t="shared" si="50"/>
        <v>-0.19999999999999929</v>
      </c>
      <c r="C199" s="168">
        <f t="shared" si="46"/>
        <v>0.97979391555374173</v>
      </c>
      <c r="D199" s="168">
        <f t="shared" si="47"/>
        <v>0</v>
      </c>
      <c r="E199" s="168">
        <f t="shared" si="48"/>
        <v>0</v>
      </c>
      <c r="F199" s="169">
        <f t="shared" si="49"/>
        <v>2</v>
      </c>
    </row>
    <row r="200" spans="2:6" x14ac:dyDescent="0.2">
      <c r="B200" s="167">
        <f t="shared" si="50"/>
        <v>-0.18999999999999928</v>
      </c>
      <c r="C200" s="168">
        <f t="shared" si="46"/>
        <v>0.98178230558149182</v>
      </c>
      <c r="D200" s="168">
        <f t="shared" si="47"/>
        <v>0</v>
      </c>
      <c r="E200" s="168">
        <f t="shared" si="48"/>
        <v>0</v>
      </c>
      <c r="F200" s="169">
        <f t="shared" si="49"/>
        <v>2</v>
      </c>
    </row>
    <row r="201" spans="2:6" x14ac:dyDescent="0.2">
      <c r="B201" s="167">
        <f t="shared" si="50"/>
        <v>-0.17999999999999927</v>
      </c>
      <c r="C201" s="168">
        <f t="shared" si="46"/>
        <v>0.98366501144163276</v>
      </c>
      <c r="D201" s="168">
        <f t="shared" si="47"/>
        <v>0</v>
      </c>
      <c r="E201" s="168">
        <f t="shared" si="48"/>
        <v>0</v>
      </c>
      <c r="F201" s="169">
        <f t="shared" si="49"/>
        <v>2</v>
      </c>
    </row>
    <row r="202" spans="2:6" x14ac:dyDescent="0.2">
      <c r="B202" s="167">
        <f t="shared" si="50"/>
        <v>-0.16999999999999926</v>
      </c>
      <c r="C202" s="168">
        <f t="shared" si="46"/>
        <v>0.98544263886885164</v>
      </c>
      <c r="D202" s="168">
        <f t="shared" si="47"/>
        <v>0</v>
      </c>
      <c r="E202" s="168">
        <f t="shared" si="48"/>
        <v>0</v>
      </c>
      <c r="F202" s="169">
        <f t="shared" si="49"/>
        <v>2</v>
      </c>
    </row>
    <row r="203" spans="2:6" x14ac:dyDescent="0.2">
      <c r="B203" s="167">
        <f t="shared" si="50"/>
        <v>-0.15999999999999925</v>
      </c>
      <c r="C203" s="168">
        <f t="shared" si="46"/>
        <v>0.98711575554841846</v>
      </c>
      <c r="D203" s="168">
        <f t="shared" si="47"/>
        <v>0</v>
      </c>
      <c r="E203" s="168">
        <f t="shared" si="48"/>
        <v>0</v>
      </c>
      <c r="F203" s="169">
        <f t="shared" si="49"/>
        <v>2</v>
      </c>
    </row>
    <row r="204" spans="2:6" x14ac:dyDescent="0.2">
      <c r="B204" s="167">
        <f t="shared" si="50"/>
        <v>-0.14999999999999925</v>
      </c>
      <c r="C204" s="168">
        <f t="shared" si="46"/>
        <v>0.98868489206006616</v>
      </c>
      <c r="D204" s="168">
        <f t="shared" si="47"/>
        <v>0</v>
      </c>
      <c r="E204" s="168">
        <f t="shared" si="48"/>
        <v>0</v>
      </c>
      <c r="F204" s="169">
        <f t="shared" si="49"/>
        <v>2</v>
      </c>
    </row>
    <row r="205" spans="2:6" x14ac:dyDescent="0.2">
      <c r="B205" s="167">
        <f t="shared" si="50"/>
        <v>-0.13999999999999924</v>
      </c>
      <c r="C205" s="168">
        <f t="shared" si="46"/>
        <v>0.99015054275019465</v>
      </c>
      <c r="D205" s="168">
        <f t="shared" si="47"/>
        <v>0</v>
      </c>
      <c r="E205" s="168">
        <f t="shared" si="48"/>
        <v>0</v>
      </c>
      <c r="F205" s="169">
        <f t="shared" si="49"/>
        <v>2</v>
      </c>
    </row>
    <row r="206" spans="2:6" x14ac:dyDescent="0.2">
      <c r="B206" s="167">
        <f t="shared" si="50"/>
        <v>-0.12999999999999923</v>
      </c>
      <c r="C206" s="168">
        <f t="shared" si="46"/>
        <v>0.99151316653585908</v>
      </c>
      <c r="D206" s="168">
        <f t="shared" si="47"/>
        <v>0</v>
      </c>
      <c r="E206" s="168">
        <f t="shared" si="48"/>
        <v>0</v>
      </c>
      <c r="F206" s="169">
        <f t="shared" si="49"/>
        <v>2</v>
      </c>
    </row>
    <row r="207" spans="2:6" x14ac:dyDescent="0.2">
      <c r="B207" s="167">
        <f t="shared" si="50"/>
        <v>-0.11999999999999923</v>
      </c>
      <c r="C207" s="168">
        <f t="shared" si="46"/>
        <v>0.99277318764368727</v>
      </c>
      <c r="D207" s="168">
        <f t="shared" si="47"/>
        <v>0</v>
      </c>
      <c r="E207" s="168">
        <f t="shared" si="48"/>
        <v>0</v>
      </c>
      <c r="F207" s="169">
        <f t="shared" si="49"/>
        <v>2</v>
      </c>
    </row>
    <row r="208" spans="2:6" x14ac:dyDescent="0.2">
      <c r="B208" s="167">
        <f t="shared" si="50"/>
        <v>-0.10999999999999924</v>
      </c>
      <c r="C208" s="168">
        <f t="shared" si="46"/>
        <v>0.99393099628657833</v>
      </c>
      <c r="D208" s="168">
        <f t="shared" si="47"/>
        <v>0</v>
      </c>
      <c r="E208" s="168">
        <f t="shared" si="48"/>
        <v>0</v>
      </c>
      <c r="F208" s="169">
        <f t="shared" si="49"/>
        <v>2</v>
      </c>
    </row>
    <row r="209" spans="2:6" x14ac:dyDescent="0.2">
      <c r="B209" s="167">
        <f t="shared" si="50"/>
        <v>-9.9999999999999242E-2</v>
      </c>
      <c r="C209" s="168">
        <f t="shared" si="46"/>
        <v>0.99498694928075981</v>
      </c>
      <c r="D209" s="168">
        <f t="shared" si="47"/>
        <v>0</v>
      </c>
      <c r="E209" s="168">
        <f t="shared" si="48"/>
        <v>0</v>
      </c>
      <c r="F209" s="169">
        <f t="shared" si="49"/>
        <v>2</v>
      </c>
    </row>
    <row r="210" spans="2:6" x14ac:dyDescent="0.2">
      <c r="B210" s="167">
        <f t="shared" si="50"/>
        <v>-8.9999999999999247E-2</v>
      </c>
      <c r="C210" s="168">
        <f t="shared" si="46"/>
        <v>0.99594137060552768</v>
      </c>
      <c r="D210" s="168">
        <f t="shared" si="47"/>
        <v>0</v>
      </c>
      <c r="E210" s="168">
        <f t="shared" si="48"/>
        <v>0</v>
      </c>
      <c r="F210" s="169">
        <f t="shared" si="49"/>
        <v>2</v>
      </c>
    </row>
    <row r="211" spans="2:6" x14ac:dyDescent="0.2">
      <c r="B211" s="167">
        <f t="shared" si="50"/>
        <v>-7.9999999999999252E-2</v>
      </c>
      <c r="C211" s="168">
        <f t="shared" si="46"/>
        <v>0.99679455190775457</v>
      </c>
      <c r="D211" s="168">
        <f t="shared" si="47"/>
        <v>0</v>
      </c>
      <c r="E211" s="168">
        <f t="shared" si="48"/>
        <v>0</v>
      </c>
      <c r="F211" s="169">
        <f t="shared" si="49"/>
        <v>2</v>
      </c>
    </row>
    <row r="212" spans="2:6" x14ac:dyDescent="0.2">
      <c r="B212" s="167">
        <f t="shared" si="50"/>
        <v>-6.9999999999999257E-2</v>
      </c>
      <c r="C212" s="168">
        <f t="shared" si="46"/>
        <v>0.99754675295302642</v>
      </c>
      <c r="D212" s="168">
        <f t="shared" si="47"/>
        <v>0</v>
      </c>
      <c r="E212" s="168">
        <f t="shared" si="48"/>
        <v>0</v>
      </c>
      <c r="F212" s="169">
        <f t="shared" si="49"/>
        <v>2</v>
      </c>
    </row>
    <row r="213" spans="2:6" x14ac:dyDescent="0.2">
      <c r="B213" s="167">
        <f t="shared" si="50"/>
        <v>-5.9999999999999255E-2</v>
      </c>
      <c r="C213" s="168">
        <f t="shared" si="46"/>
        <v>0.99819820202505483</v>
      </c>
      <c r="D213" s="168">
        <f t="shared" si="47"/>
        <v>0</v>
      </c>
      <c r="E213" s="168">
        <f t="shared" si="48"/>
        <v>0</v>
      </c>
      <c r="F213" s="169">
        <f t="shared" si="49"/>
        <v>2</v>
      </c>
    </row>
    <row r="214" spans="2:6" x14ac:dyDescent="0.2">
      <c r="B214" s="167">
        <f t="shared" si="50"/>
        <v>-4.9999999999999253E-2</v>
      </c>
      <c r="C214" s="168">
        <f t="shared" si="46"/>
        <v>0.99874909627481434</v>
      </c>
      <c r="D214" s="168">
        <f t="shared" si="47"/>
        <v>0</v>
      </c>
      <c r="E214" s="168">
        <f t="shared" si="48"/>
        <v>0</v>
      </c>
      <c r="F214" s="169">
        <f t="shared" si="49"/>
        <v>2</v>
      </c>
    </row>
    <row r="215" spans="2:6" x14ac:dyDescent="0.2">
      <c r="B215" s="167">
        <f t="shared" si="50"/>
        <v>-3.9999999999999251E-2</v>
      </c>
      <c r="C215" s="168">
        <f t="shared" si="46"/>
        <v>0.99919960202066005</v>
      </c>
      <c r="D215" s="168">
        <f t="shared" si="47"/>
        <v>0</v>
      </c>
      <c r="E215" s="168">
        <f t="shared" si="48"/>
        <v>0</v>
      </c>
      <c r="F215" s="169">
        <f t="shared" si="49"/>
        <v>2</v>
      </c>
    </row>
    <row r="216" spans="2:6" x14ac:dyDescent="0.2">
      <c r="B216" s="167">
        <f t="shared" ref="B216:B247" si="51">B215+$C$114</f>
        <v>-2.9999999999999249E-2</v>
      </c>
      <c r="C216" s="168">
        <f t="shared" si="46"/>
        <v>0.9995498550004962</v>
      </c>
      <c r="D216" s="168">
        <f t="shared" si="47"/>
        <v>0</v>
      </c>
      <c r="E216" s="168">
        <f t="shared" si="48"/>
        <v>0</v>
      </c>
      <c r="F216" s="169">
        <f t="shared" si="49"/>
        <v>2</v>
      </c>
    </row>
    <row r="217" spans="2:6" x14ac:dyDescent="0.2">
      <c r="B217" s="167">
        <f t="shared" si="51"/>
        <v>-1.9999999999999248E-2</v>
      </c>
      <c r="C217" s="168">
        <f t="shared" si="46"/>
        <v>0.99979996057689535</v>
      </c>
      <c r="D217" s="168">
        <f t="shared" si="47"/>
        <v>0</v>
      </c>
      <c r="E217" s="168">
        <f t="shared" si="48"/>
        <v>0</v>
      </c>
      <c r="F217" s="169">
        <f t="shared" si="49"/>
        <v>2</v>
      </c>
    </row>
    <row r="218" spans="2:6" x14ac:dyDescent="0.2">
      <c r="B218" s="167">
        <f t="shared" si="51"/>
        <v>-9.9999999999992473E-3</v>
      </c>
      <c r="C218" s="168">
        <f t="shared" si="46"/>
        <v>0.9999499938958899</v>
      </c>
      <c r="D218" s="168">
        <f t="shared" si="47"/>
        <v>0</v>
      </c>
      <c r="E218" s="168">
        <f t="shared" si="48"/>
        <v>0</v>
      </c>
      <c r="F218" s="169">
        <f t="shared" si="49"/>
        <v>2</v>
      </c>
    </row>
    <row r="219" spans="2:6" x14ac:dyDescent="0.2">
      <c r="B219" s="167">
        <f t="shared" si="51"/>
        <v>7.5286998857393428E-16</v>
      </c>
      <c r="C219" s="168">
        <f t="shared" si="46"/>
        <v>1</v>
      </c>
      <c r="D219" s="168">
        <f t="shared" si="47"/>
        <v>0</v>
      </c>
      <c r="E219" s="168">
        <f t="shared" si="48"/>
        <v>0</v>
      </c>
      <c r="F219" s="169">
        <f t="shared" si="49"/>
        <v>2</v>
      </c>
    </row>
    <row r="220" spans="2:6" x14ac:dyDescent="0.2">
      <c r="B220" s="167">
        <f t="shared" si="51"/>
        <v>1.0000000000000753E-2</v>
      </c>
      <c r="C220" s="168">
        <f t="shared" si="46"/>
        <v>0.9999499938958899</v>
      </c>
      <c r="D220" s="168">
        <f t="shared" si="47"/>
        <v>0</v>
      </c>
      <c r="E220" s="168">
        <f t="shared" si="48"/>
        <v>5.0006104110100758E-5</v>
      </c>
      <c r="F220" s="169">
        <f t="shared" si="49"/>
        <v>1.9998999877917798</v>
      </c>
    </row>
    <row r="221" spans="2:6" x14ac:dyDescent="0.2">
      <c r="B221" s="167">
        <f t="shared" si="51"/>
        <v>2.0000000000000753E-2</v>
      </c>
      <c r="C221" s="168">
        <f t="shared" si="46"/>
        <v>0.99979996057689524</v>
      </c>
      <c r="D221" s="168">
        <f t="shared" si="47"/>
        <v>0</v>
      </c>
      <c r="E221" s="168">
        <f t="shared" si="48"/>
        <v>2.0003942310475864E-4</v>
      </c>
      <c r="F221" s="169">
        <f t="shared" si="49"/>
        <v>1.9995999211537905</v>
      </c>
    </row>
    <row r="222" spans="2:6" x14ac:dyDescent="0.2">
      <c r="B222" s="167">
        <f t="shared" si="51"/>
        <v>3.0000000000000755E-2</v>
      </c>
      <c r="C222" s="168">
        <f t="shared" si="46"/>
        <v>0.9995498550004962</v>
      </c>
      <c r="D222" s="168">
        <f t="shared" si="47"/>
        <v>0</v>
      </c>
      <c r="E222" s="168">
        <f t="shared" si="48"/>
        <v>4.5014499950379872E-4</v>
      </c>
      <c r="F222" s="169">
        <f t="shared" si="49"/>
        <v>1.9990997100009924</v>
      </c>
    </row>
    <row r="223" spans="2:6" x14ac:dyDescent="0.2">
      <c r="B223" s="167">
        <f t="shared" si="51"/>
        <v>4.0000000000000757E-2</v>
      </c>
      <c r="C223" s="168">
        <f t="shared" si="46"/>
        <v>0.99919960202065994</v>
      </c>
      <c r="D223" s="168">
        <f t="shared" si="47"/>
        <v>0</v>
      </c>
      <c r="E223" s="168">
        <f t="shared" si="48"/>
        <v>8.0039797934006174E-4</v>
      </c>
      <c r="F223" s="169">
        <f t="shared" si="49"/>
        <v>1.9983992040413199</v>
      </c>
    </row>
    <row r="224" spans="2:6" x14ac:dyDescent="0.2">
      <c r="B224" s="167">
        <f t="shared" si="51"/>
        <v>5.0000000000000759E-2</v>
      </c>
      <c r="C224" s="168">
        <f t="shared" si="46"/>
        <v>0.99874909627481423</v>
      </c>
      <c r="D224" s="168">
        <f t="shared" si="47"/>
        <v>0</v>
      </c>
      <c r="E224" s="168">
        <f t="shared" si="48"/>
        <v>1.2509037251857702E-3</v>
      </c>
      <c r="F224" s="169">
        <f t="shared" si="49"/>
        <v>1.9974981925496285</v>
      </c>
    </row>
    <row r="225" spans="2:6" x14ac:dyDescent="0.2">
      <c r="B225" s="167">
        <f t="shared" si="51"/>
        <v>6.0000000000000761E-2</v>
      </c>
      <c r="C225" s="168">
        <f t="shared" si="46"/>
        <v>0.99819820202505471</v>
      </c>
      <c r="D225" s="168">
        <f t="shared" si="47"/>
        <v>0</v>
      </c>
      <c r="E225" s="168">
        <f t="shared" si="48"/>
        <v>1.801797974945285E-3</v>
      </c>
      <c r="F225" s="169">
        <f t="shared" si="49"/>
        <v>1.9963964040501094</v>
      </c>
    </row>
    <row r="226" spans="2:6" x14ac:dyDescent="0.2">
      <c r="B226" s="167">
        <f t="shared" si="51"/>
        <v>7.0000000000000756E-2</v>
      </c>
      <c r="C226" s="168">
        <f t="shared" si="46"/>
        <v>0.99754675295302631</v>
      </c>
      <c r="D226" s="168">
        <f t="shared" si="47"/>
        <v>0</v>
      </c>
      <c r="E226" s="168">
        <f t="shared" si="48"/>
        <v>2.4532470469736944E-3</v>
      </c>
      <c r="F226" s="169">
        <f t="shared" si="49"/>
        <v>1.9950935059060526</v>
      </c>
    </row>
    <row r="227" spans="2:6" x14ac:dyDescent="0.2">
      <c r="B227" s="167">
        <f t="shared" si="51"/>
        <v>8.0000000000000751E-2</v>
      </c>
      <c r="C227" s="168">
        <f t="shared" si="46"/>
        <v>0.99679455190775446</v>
      </c>
      <c r="D227" s="168">
        <f t="shared" si="47"/>
        <v>0</v>
      </c>
      <c r="E227" s="168">
        <f t="shared" si="48"/>
        <v>3.2054480922455442E-3</v>
      </c>
      <c r="F227" s="169">
        <f t="shared" si="49"/>
        <v>1.9935891038155089</v>
      </c>
    </row>
    <row r="228" spans="2:6" x14ac:dyDescent="0.2">
      <c r="B228" s="167">
        <f t="shared" si="51"/>
        <v>9.0000000000000746E-2</v>
      </c>
      <c r="C228" s="168">
        <f t="shared" si="46"/>
        <v>0.99594137060552745</v>
      </c>
      <c r="D228" s="168">
        <f t="shared" si="47"/>
        <v>0</v>
      </c>
      <c r="E228" s="168">
        <f t="shared" si="48"/>
        <v>4.058629394472546E-3</v>
      </c>
      <c r="F228" s="169">
        <f t="shared" si="49"/>
        <v>1.9918827412110549</v>
      </c>
    </row>
    <row r="229" spans="2:6" x14ac:dyDescent="0.2">
      <c r="B229" s="167">
        <f t="shared" si="51"/>
        <v>0.10000000000000074</v>
      </c>
      <c r="C229" s="168">
        <f t="shared" si="46"/>
        <v>0.99498694928075959</v>
      </c>
      <c r="D229" s="168">
        <f t="shared" si="47"/>
        <v>0</v>
      </c>
      <c r="E229" s="168">
        <f t="shared" si="48"/>
        <v>5.0130507192404083E-3</v>
      </c>
      <c r="F229" s="169">
        <f t="shared" si="49"/>
        <v>1.9899738985615192</v>
      </c>
    </row>
    <row r="230" spans="2:6" x14ac:dyDescent="0.2">
      <c r="B230" s="167">
        <f t="shared" si="51"/>
        <v>0.11000000000000074</v>
      </c>
      <c r="C230" s="168">
        <f t="shared" si="46"/>
        <v>0.99393099628657822</v>
      </c>
      <c r="D230" s="168">
        <f t="shared" si="47"/>
        <v>0</v>
      </c>
      <c r="E230" s="168">
        <f t="shared" si="48"/>
        <v>6.0690037134217834E-3</v>
      </c>
      <c r="F230" s="169">
        <f t="shared" si="49"/>
        <v>1.9878619925731564</v>
      </c>
    </row>
    <row r="231" spans="2:6" x14ac:dyDescent="0.2">
      <c r="B231" s="167">
        <f t="shared" si="51"/>
        <v>0.12000000000000073</v>
      </c>
      <c r="C231" s="168">
        <f t="shared" si="46"/>
        <v>0.99277318764368705</v>
      </c>
      <c r="D231" s="168">
        <f t="shared" si="47"/>
        <v>0</v>
      </c>
      <c r="E231" s="168">
        <f t="shared" si="48"/>
        <v>7.2268123563129505E-3</v>
      </c>
      <c r="F231" s="169">
        <f t="shared" si="49"/>
        <v>1.9855463752873741</v>
      </c>
    </row>
    <row r="232" spans="2:6" x14ac:dyDescent="0.2">
      <c r="B232" s="167">
        <f t="shared" si="51"/>
        <v>0.13000000000000073</v>
      </c>
      <c r="C232" s="168">
        <f t="shared" si="46"/>
        <v>0.99151316653585886</v>
      </c>
      <c r="D232" s="168">
        <f t="shared" si="47"/>
        <v>0</v>
      </c>
      <c r="E232" s="168">
        <f t="shared" si="48"/>
        <v>8.4868334641411414E-3</v>
      </c>
      <c r="F232" s="169">
        <f t="shared" si="49"/>
        <v>1.9830263330717177</v>
      </c>
    </row>
    <row r="233" spans="2:6" x14ac:dyDescent="0.2">
      <c r="B233" s="167">
        <f t="shared" si="51"/>
        <v>0.14000000000000073</v>
      </c>
      <c r="C233" s="168">
        <f t="shared" si="46"/>
        <v>0.99015054275019443</v>
      </c>
      <c r="D233" s="168">
        <f t="shared" si="47"/>
        <v>0</v>
      </c>
      <c r="E233" s="168">
        <f t="shared" si="48"/>
        <v>9.849457249805571E-3</v>
      </c>
      <c r="F233" s="169">
        <f t="shared" si="49"/>
        <v>1.9803010855003889</v>
      </c>
    </row>
    <row r="234" spans="2:6" x14ac:dyDescent="0.2">
      <c r="B234" s="167">
        <f t="shared" si="51"/>
        <v>0.15000000000000074</v>
      </c>
      <c r="C234" s="168">
        <f t="shared" si="46"/>
        <v>0.98868489206006593</v>
      </c>
      <c r="D234" s="168">
        <f t="shared" si="47"/>
        <v>0</v>
      </c>
      <c r="E234" s="168">
        <f t="shared" si="48"/>
        <v>1.1315107939934066E-2</v>
      </c>
      <c r="F234" s="169">
        <f t="shared" si="49"/>
        <v>1.9773697841201319</v>
      </c>
    </row>
    <row r="235" spans="2:6" x14ac:dyDescent="0.2">
      <c r="B235" s="167">
        <f t="shared" si="51"/>
        <v>0.16000000000000075</v>
      </c>
      <c r="C235" s="168">
        <f t="shared" si="46"/>
        <v>0.98711575554841824</v>
      </c>
      <c r="D235" s="168">
        <f t="shared" si="47"/>
        <v>0</v>
      </c>
      <c r="E235" s="168">
        <f t="shared" si="48"/>
        <v>1.2884244451581761E-2</v>
      </c>
      <c r="F235" s="169">
        <f t="shared" si="49"/>
        <v>1.9742315110968365</v>
      </c>
    </row>
    <row r="236" spans="2:6" x14ac:dyDescent="0.2">
      <c r="B236" s="167">
        <f t="shared" si="51"/>
        <v>0.17000000000000076</v>
      </c>
      <c r="C236" s="168">
        <f t="shared" si="46"/>
        <v>0.98544263886885142</v>
      </c>
      <c r="D236" s="168">
        <f t="shared" si="47"/>
        <v>0</v>
      </c>
      <c r="E236" s="168">
        <f t="shared" si="48"/>
        <v>1.4557361131148583E-2</v>
      </c>
      <c r="F236" s="169">
        <f t="shared" si="49"/>
        <v>1.9708852777377028</v>
      </c>
    </row>
    <row r="237" spans="2:6" x14ac:dyDescent="0.2">
      <c r="B237" s="167">
        <f t="shared" si="51"/>
        <v>0.18000000000000077</v>
      </c>
      <c r="C237" s="168">
        <f t="shared" si="46"/>
        <v>0.98366501144163254</v>
      </c>
      <c r="D237" s="168">
        <f t="shared" si="47"/>
        <v>0</v>
      </c>
      <c r="E237" s="168">
        <f t="shared" si="48"/>
        <v>1.6334988558367458E-2</v>
      </c>
      <c r="F237" s="169">
        <f t="shared" si="49"/>
        <v>1.9673300228832651</v>
      </c>
    </row>
    <row r="238" spans="2:6" x14ac:dyDescent="0.2">
      <c r="B238" s="167">
        <f t="shared" si="51"/>
        <v>0.19000000000000078</v>
      </c>
      <c r="C238" s="168">
        <f t="shared" si="46"/>
        <v>0.98178230558149149</v>
      </c>
      <c r="D238" s="168">
        <f t="shared" si="47"/>
        <v>0</v>
      </c>
      <c r="E238" s="168">
        <f t="shared" si="48"/>
        <v>1.8217694418508512E-2</v>
      </c>
      <c r="F238" s="169">
        <f t="shared" si="49"/>
        <v>1.963564611162983</v>
      </c>
    </row>
    <row r="239" spans="2:6" x14ac:dyDescent="0.2">
      <c r="B239" s="167">
        <f t="shared" si="51"/>
        <v>0.20000000000000079</v>
      </c>
      <c r="C239" s="168">
        <f t="shared" si="46"/>
        <v>0.9797939155537414</v>
      </c>
      <c r="D239" s="168">
        <f t="shared" si="47"/>
        <v>0</v>
      </c>
      <c r="E239" s="168">
        <f t="shared" si="48"/>
        <v>2.0206084446258599E-2</v>
      </c>
      <c r="F239" s="169">
        <f t="shared" si="49"/>
        <v>1.9595878311074828</v>
      </c>
    </row>
    <row r="240" spans="2:6" x14ac:dyDescent="0.2">
      <c r="B240" s="167">
        <f t="shared" si="51"/>
        <v>0.2100000000000008</v>
      </c>
      <c r="C240" s="168">
        <f t="shared" si="46"/>
        <v>0.97769919655491977</v>
      </c>
      <c r="D240" s="168">
        <f t="shared" si="47"/>
        <v>0</v>
      </c>
      <c r="E240" s="168">
        <f t="shared" si="48"/>
        <v>2.2300803445080231E-2</v>
      </c>
      <c r="F240" s="169">
        <f t="shared" si="49"/>
        <v>1.9553983931098395</v>
      </c>
    </row>
    <row r="241" spans="2:6" x14ac:dyDescent="0.2">
      <c r="B241" s="167">
        <f t="shared" si="51"/>
        <v>0.22000000000000081</v>
      </c>
      <c r="C241" s="168">
        <f t="shared" si="46"/>
        <v>0.97549746361378098</v>
      </c>
      <c r="D241" s="168">
        <f t="shared" si="47"/>
        <v>0</v>
      </c>
      <c r="E241" s="168">
        <f t="shared" si="48"/>
        <v>2.450253638621902E-2</v>
      </c>
      <c r="F241" s="169">
        <f t="shared" si="49"/>
        <v>1.950994927227562</v>
      </c>
    </row>
    <row r="242" spans="2:6" x14ac:dyDescent="0.2">
      <c r="B242" s="167">
        <f t="shared" si="51"/>
        <v>0.23000000000000081</v>
      </c>
      <c r="C242" s="168">
        <f t="shared" si="46"/>
        <v>0.97318799040806336</v>
      </c>
      <c r="D242" s="168">
        <f t="shared" si="47"/>
        <v>0</v>
      </c>
      <c r="E242" s="168">
        <f t="shared" si="48"/>
        <v>2.6812009591936636E-2</v>
      </c>
      <c r="F242" s="169">
        <f t="shared" si="49"/>
        <v>1.9463759808161267</v>
      </c>
    </row>
    <row r="243" spans="2:6" x14ac:dyDescent="0.2">
      <c r="B243" s="167">
        <f t="shared" si="51"/>
        <v>0.24000000000000082</v>
      </c>
      <c r="C243" s="168">
        <f t="shared" si="46"/>
        <v>0.97077000799202195</v>
      </c>
      <c r="D243" s="168">
        <f t="shared" si="47"/>
        <v>0</v>
      </c>
      <c r="E243" s="168">
        <f t="shared" si="48"/>
        <v>2.9229992007978045E-2</v>
      </c>
      <c r="F243" s="169">
        <f t="shared" si="49"/>
        <v>1.9415400159840439</v>
      </c>
    </row>
    <row r="244" spans="2:6" x14ac:dyDescent="0.2">
      <c r="B244" s="167">
        <f t="shared" si="51"/>
        <v>0.25000000000000083</v>
      </c>
      <c r="C244" s="168">
        <f t="shared" si="46"/>
        <v>0.96824270342923657</v>
      </c>
      <c r="D244" s="168">
        <f t="shared" si="47"/>
        <v>0</v>
      </c>
      <c r="E244" s="168">
        <f t="shared" si="48"/>
        <v>3.1757296570763427E-2</v>
      </c>
      <c r="F244" s="169">
        <f t="shared" si="49"/>
        <v>1.9364854068584731</v>
      </c>
    </row>
    <row r="245" spans="2:6" x14ac:dyDescent="0.2">
      <c r="B245" s="167">
        <f t="shared" si="51"/>
        <v>0.26000000000000084</v>
      </c>
      <c r="C245" s="168">
        <f t="shared" si="46"/>
        <v>0.96560521832468538</v>
      </c>
      <c r="D245" s="168">
        <f t="shared" si="47"/>
        <v>0</v>
      </c>
      <c r="E245" s="168">
        <f t="shared" si="48"/>
        <v>3.4394781675314623E-2</v>
      </c>
      <c r="F245" s="169">
        <f t="shared" si="49"/>
        <v>1.9312104366493708</v>
      </c>
    </row>
    <row r="246" spans="2:6" x14ac:dyDescent="0.2">
      <c r="B246" s="167">
        <f t="shared" si="51"/>
        <v>0.27000000000000085</v>
      </c>
      <c r="C246" s="168">
        <f t="shared" si="46"/>
        <v>0.96285664724950148</v>
      </c>
      <c r="D246" s="168">
        <f t="shared" si="47"/>
        <v>0</v>
      </c>
      <c r="E246" s="168">
        <f t="shared" si="48"/>
        <v>3.7143352750498515E-2</v>
      </c>
      <c r="F246" s="169">
        <f t="shared" si="49"/>
        <v>1.925713294499003</v>
      </c>
    </row>
    <row r="247" spans="2:6" x14ac:dyDescent="0.2">
      <c r="B247" s="167">
        <f t="shared" si="51"/>
        <v>0.28000000000000086</v>
      </c>
      <c r="C247" s="168">
        <f t="shared" ref="C247:C310" si="52">IFERROR(IF(SQRT(1-(B247*B247)/($F$115*$F$115))&lt;0.05,0,SQRT(1-(B247*B247)/($F$115*$F$115))),0)</f>
        <v>0.9599960360512011</v>
      </c>
      <c r="D247" s="168">
        <f t="shared" ref="D247:D310" si="53">CHOOSE(MATCH($F$113,degrees),IF(B247&lt;0,IFERROR(1-C247,1),0),0,0,IF(B247&gt;0,IFERROR(1-C247,1),0))</f>
        <v>0</v>
      </c>
      <c r="E247" s="168">
        <f t="shared" ref="E247:E310" si="54">CHOOSE(MATCH($F$113,degrees),IF(B247&lt;0,2*C247,2),IF(B247&lt;0,0,1-C247),IF(B247&gt;0,0,1-C247),IF(B247&gt;0,2*C247,2))</f>
        <v>4.0003963948798904E-2</v>
      </c>
      <c r="F247" s="169">
        <f t="shared" ref="F247:F310" si="55">CHOOSE(MATCH($F$113,degrees),IF(B247&lt;0,C247+1,2),IF(B247&lt;0,2,2*C247),IF(B247&gt;0,2,2*C247),IF(B247&gt;0,C247+1,2))</f>
        <v>1.9199920721024022</v>
      </c>
    </row>
    <row r="248" spans="2:6" x14ac:dyDescent="0.2">
      <c r="B248" s="167">
        <f t="shared" ref="B248:B279" si="56">B247+$C$114</f>
        <v>0.29000000000000087</v>
      </c>
      <c r="C248" s="168">
        <f t="shared" si="52"/>
        <v>0.95702238004148465</v>
      </c>
      <c r="D248" s="168">
        <f t="shared" si="53"/>
        <v>0</v>
      </c>
      <c r="E248" s="168">
        <f t="shared" si="54"/>
        <v>4.2977619958515345E-2</v>
      </c>
      <c r="F248" s="169">
        <f t="shared" si="55"/>
        <v>1.9140447600829693</v>
      </c>
    </row>
    <row r="249" spans="2:6" x14ac:dyDescent="0.2">
      <c r="B249" s="167">
        <f t="shared" si="56"/>
        <v>0.30000000000000088</v>
      </c>
      <c r="C249" s="168">
        <f t="shared" si="52"/>
        <v>0.95393462205294632</v>
      </c>
      <c r="D249" s="168">
        <f t="shared" si="53"/>
        <v>0</v>
      </c>
      <c r="E249" s="168">
        <f t="shared" si="54"/>
        <v>4.6065377947053676E-2</v>
      </c>
      <c r="F249" s="169">
        <f t="shared" si="55"/>
        <v>1.9078692441058926</v>
      </c>
    </row>
    <row r="250" spans="2:6" x14ac:dyDescent="0.2">
      <c r="B250" s="167">
        <f t="shared" si="56"/>
        <v>0.31000000000000089</v>
      </c>
      <c r="C250" s="168">
        <f t="shared" si="52"/>
        <v>0.95073165035519225</v>
      </c>
      <c r="D250" s="168">
        <f t="shared" si="53"/>
        <v>0</v>
      </c>
      <c r="E250" s="168">
        <f t="shared" si="54"/>
        <v>4.9268349644807752E-2</v>
      </c>
      <c r="F250" s="169">
        <f t="shared" si="55"/>
        <v>1.9014633007103845</v>
      </c>
    </row>
    <row r="251" spans="2:6" x14ac:dyDescent="0.2">
      <c r="B251" s="167">
        <f t="shared" si="56"/>
        <v>0.32000000000000089</v>
      </c>
      <c r="C251" s="168">
        <f t="shared" si="52"/>
        <v>0.94741229641993696</v>
      </c>
      <c r="D251" s="168">
        <f t="shared" si="53"/>
        <v>0</v>
      </c>
      <c r="E251" s="168">
        <f t="shared" si="54"/>
        <v>5.2587703580063039E-2</v>
      </c>
      <c r="F251" s="169">
        <f t="shared" si="55"/>
        <v>1.8948245928398739</v>
      </c>
    </row>
    <row r="252" spans="2:6" x14ac:dyDescent="0.2">
      <c r="B252" s="167">
        <f t="shared" si="56"/>
        <v>0.3300000000000009</v>
      </c>
      <c r="C252" s="168">
        <f t="shared" si="52"/>
        <v>0.94397533252361532</v>
      </c>
      <c r="D252" s="168">
        <f t="shared" si="53"/>
        <v>0</v>
      </c>
      <c r="E252" s="168">
        <f t="shared" si="54"/>
        <v>5.6024667476384682E-2</v>
      </c>
      <c r="F252" s="169">
        <f t="shared" si="55"/>
        <v>1.8879506650472306</v>
      </c>
    </row>
    <row r="253" spans="2:6" x14ac:dyDescent="0.2">
      <c r="B253" s="167">
        <f t="shared" si="56"/>
        <v>0.34000000000000091</v>
      </c>
      <c r="C253" s="168">
        <f t="shared" si="52"/>
        <v>0.94041946917491137</v>
      </c>
      <c r="D253" s="168">
        <f t="shared" si="53"/>
        <v>0</v>
      </c>
      <c r="E253" s="168">
        <f t="shared" si="54"/>
        <v>5.9580530825088629E-2</v>
      </c>
      <c r="F253" s="169">
        <f t="shared" si="55"/>
        <v>1.8808389383498227</v>
      </c>
    </row>
    <row r="254" spans="2:6" x14ac:dyDescent="0.2">
      <c r="B254" s="167">
        <f t="shared" si="56"/>
        <v>0.35000000000000092</v>
      </c>
      <c r="C254" s="168">
        <f t="shared" si="52"/>
        <v>0.93674335235332995</v>
      </c>
      <c r="D254" s="168">
        <f t="shared" si="53"/>
        <v>0</v>
      </c>
      <c r="E254" s="168">
        <f t="shared" si="54"/>
        <v>6.325664764667005E-2</v>
      </c>
      <c r="F254" s="169">
        <f t="shared" si="55"/>
        <v>1.8734867047066599</v>
      </c>
    </row>
    <row r="255" spans="2:6" x14ac:dyDescent="0.2">
      <c r="B255" s="167">
        <f t="shared" si="56"/>
        <v>0.36000000000000093</v>
      </c>
      <c r="C255" s="168">
        <f t="shared" si="52"/>
        <v>0.93294556054352307</v>
      </c>
      <c r="D255" s="168">
        <f t="shared" si="53"/>
        <v>0</v>
      </c>
      <c r="E255" s="168">
        <f t="shared" si="54"/>
        <v>6.7054439456476933E-2</v>
      </c>
      <c r="F255" s="169">
        <f t="shared" si="55"/>
        <v>1.8658911210870461</v>
      </c>
    </row>
    <row r="256" spans="2:6" x14ac:dyDescent="0.2">
      <c r="B256" s="167">
        <f t="shared" si="56"/>
        <v>0.37000000000000094</v>
      </c>
      <c r="C256" s="168">
        <f t="shared" si="52"/>
        <v>0.92902460154850719</v>
      </c>
      <c r="D256" s="168">
        <f t="shared" si="53"/>
        <v>0</v>
      </c>
      <c r="E256" s="168">
        <f t="shared" si="54"/>
        <v>7.097539845149281E-2</v>
      </c>
      <c r="F256" s="169">
        <f t="shared" si="55"/>
        <v>1.8580492030970144</v>
      </c>
    </row>
    <row r="257" spans="2:6" x14ac:dyDescent="0.2">
      <c r="B257" s="167">
        <f t="shared" si="56"/>
        <v>0.38000000000000095</v>
      </c>
      <c r="C257" s="168">
        <f t="shared" si="52"/>
        <v>0.9249789090631404</v>
      </c>
      <c r="D257" s="168">
        <f t="shared" si="53"/>
        <v>0</v>
      </c>
      <c r="E257" s="168">
        <f t="shared" si="54"/>
        <v>7.5021090936859602E-2</v>
      </c>
      <c r="F257" s="169">
        <f t="shared" si="55"/>
        <v>1.8499578181262808</v>
      </c>
    </row>
    <row r="258" spans="2:6" x14ac:dyDescent="0.2">
      <c r="B258" s="167">
        <f t="shared" si="56"/>
        <v>0.39000000000000096</v>
      </c>
      <c r="C258" s="168">
        <f t="shared" si="52"/>
        <v>0.9208068389872508</v>
      </c>
      <c r="D258" s="168">
        <f t="shared" si="53"/>
        <v>0</v>
      </c>
      <c r="E258" s="168">
        <f t="shared" si="54"/>
        <v>7.9193161012749202E-2</v>
      </c>
      <c r="F258" s="169">
        <f t="shared" si="55"/>
        <v>1.8416136779745016</v>
      </c>
    </row>
    <row r="259" spans="2:6" x14ac:dyDescent="0.2">
      <c r="B259" s="167">
        <f t="shared" si="56"/>
        <v>0.40000000000000097</v>
      </c>
      <c r="C259" s="168">
        <f t="shared" si="52"/>
        <v>0.91650666545559234</v>
      </c>
      <c r="D259" s="168">
        <f t="shared" si="53"/>
        <v>0</v>
      </c>
      <c r="E259" s="168">
        <f t="shared" si="54"/>
        <v>8.349333454440766E-2</v>
      </c>
      <c r="F259" s="169">
        <f t="shared" si="55"/>
        <v>1.8330133309111847</v>
      </c>
    </row>
    <row r="260" spans="2:6" x14ac:dyDescent="0.2">
      <c r="B260" s="167">
        <f t="shared" si="56"/>
        <v>0.41000000000000097</v>
      </c>
      <c r="C260" s="168">
        <f t="shared" si="52"/>
        <v>0.91207657655930729</v>
      </c>
      <c r="D260" s="168">
        <f t="shared" si="53"/>
        <v>0</v>
      </c>
      <c r="E260" s="168">
        <f t="shared" si="54"/>
        <v>8.7923423440692705E-2</v>
      </c>
      <c r="F260" s="169">
        <f t="shared" si="55"/>
        <v>1.8241531531186146</v>
      </c>
    </row>
    <row r="261" spans="2:6" x14ac:dyDescent="0.2">
      <c r="B261" s="167">
        <f t="shared" si="56"/>
        <v>0.42000000000000098</v>
      </c>
      <c r="C261" s="168">
        <f t="shared" si="52"/>
        <v>0.90751466973076711</v>
      </c>
      <c r="D261" s="168">
        <f t="shared" si="53"/>
        <v>0</v>
      </c>
      <c r="E261" s="168">
        <f t="shared" si="54"/>
        <v>9.248533026923289E-2</v>
      </c>
      <c r="F261" s="169">
        <f t="shared" si="55"/>
        <v>1.8150293394615342</v>
      </c>
    </row>
    <row r="262" spans="2:6" x14ac:dyDescent="0.2">
      <c r="B262" s="167">
        <f t="shared" si="56"/>
        <v>0.43000000000000099</v>
      </c>
      <c r="C262" s="168">
        <f t="shared" si="52"/>
        <v>0.90281894676049046</v>
      </c>
      <c r="D262" s="168">
        <f t="shared" si="53"/>
        <v>0</v>
      </c>
      <c r="E262" s="168">
        <f t="shared" si="54"/>
        <v>9.7181053239509541E-2</v>
      </c>
      <c r="F262" s="169">
        <f t="shared" si="55"/>
        <v>1.8056378935209809</v>
      </c>
    </row>
    <row r="263" spans="2:6" x14ac:dyDescent="0.2">
      <c r="B263" s="167">
        <f t="shared" si="56"/>
        <v>0.440000000000001</v>
      </c>
      <c r="C263" s="168">
        <f t="shared" si="52"/>
        <v>0.8979873084112493</v>
      </c>
      <c r="D263" s="168">
        <f t="shared" si="53"/>
        <v>0</v>
      </c>
      <c r="E263" s="168">
        <f t="shared" si="54"/>
        <v>0.1020126915887507</v>
      </c>
      <c r="F263" s="169">
        <f t="shared" si="55"/>
        <v>1.7959746168224986</v>
      </c>
    </row>
    <row r="264" spans="2:6" x14ac:dyDescent="0.2">
      <c r="B264" s="167">
        <f t="shared" si="56"/>
        <v>0.45000000000000101</v>
      </c>
      <c r="C264" s="168">
        <f t="shared" si="52"/>
        <v>0.89301754859040683</v>
      </c>
      <c r="D264" s="168">
        <f t="shared" si="53"/>
        <v>0</v>
      </c>
      <c r="E264" s="168">
        <f t="shared" si="54"/>
        <v>0.10698245140959317</v>
      </c>
      <c r="F264" s="169">
        <f t="shared" si="55"/>
        <v>1.7860350971808137</v>
      </c>
    </row>
    <row r="265" spans="2:6" x14ac:dyDescent="0.2">
      <c r="B265" s="167">
        <f t="shared" si="56"/>
        <v>0.46000000000000102</v>
      </c>
      <c r="C265" s="168">
        <f t="shared" si="52"/>
        <v>0.88790734803691074</v>
      </c>
      <c r="D265" s="168">
        <f t="shared" si="53"/>
        <v>0</v>
      </c>
      <c r="E265" s="168">
        <f t="shared" si="54"/>
        <v>0.11209265196308926</v>
      </c>
      <c r="F265" s="169">
        <f t="shared" si="55"/>
        <v>1.7758146960738215</v>
      </c>
    </row>
    <row r="266" spans="2:6" x14ac:dyDescent="0.2">
      <c r="B266" s="167">
        <f t="shared" si="56"/>
        <v>0.47000000000000103</v>
      </c>
      <c r="C266" s="168">
        <f t="shared" si="52"/>
        <v>0.88265426747410025</v>
      </c>
      <c r="D266" s="168">
        <f t="shared" si="53"/>
        <v>0</v>
      </c>
      <c r="E266" s="168">
        <f t="shared" si="54"/>
        <v>0.11734573252589975</v>
      </c>
      <c r="F266" s="169">
        <f t="shared" si="55"/>
        <v>1.7653085349482005</v>
      </c>
    </row>
    <row r="267" spans="2:6" x14ac:dyDescent="0.2">
      <c r="B267" s="167">
        <f t="shared" si="56"/>
        <v>0.48000000000000104</v>
      </c>
      <c r="C267" s="168">
        <f t="shared" si="52"/>
        <v>0.87725574017348096</v>
      </c>
      <c r="D267" s="168">
        <f t="shared" si="53"/>
        <v>0</v>
      </c>
      <c r="E267" s="168">
        <f t="shared" si="54"/>
        <v>0.12274425982651904</v>
      </c>
      <c r="F267" s="169">
        <f t="shared" si="55"/>
        <v>1.7545114803469619</v>
      </c>
    </row>
    <row r="268" spans="2:6" x14ac:dyDescent="0.2">
      <c r="B268" s="167">
        <f t="shared" si="56"/>
        <v>0.49000000000000105</v>
      </c>
      <c r="C268" s="168">
        <f t="shared" si="52"/>
        <v>0.87170906386774705</v>
      </c>
      <c r="D268" s="168">
        <f t="shared" si="53"/>
        <v>0</v>
      </c>
      <c r="E268" s="168">
        <f t="shared" si="54"/>
        <v>0.12829093613225295</v>
      </c>
      <c r="F268" s="169">
        <f t="shared" si="55"/>
        <v>1.7434181277354941</v>
      </c>
    </row>
    <row r="269" spans="2:6" x14ac:dyDescent="0.2">
      <c r="B269" s="167">
        <f t="shared" si="56"/>
        <v>0.500000000000001</v>
      </c>
      <c r="C269" s="168">
        <f t="shared" si="52"/>
        <v>0.86601139194344712</v>
      </c>
      <c r="D269" s="168">
        <f t="shared" si="53"/>
        <v>0</v>
      </c>
      <c r="E269" s="168">
        <f t="shared" si="54"/>
        <v>0.13398860805655288</v>
      </c>
      <c r="F269" s="169">
        <f t="shared" si="55"/>
        <v>1.7320227838868942</v>
      </c>
    </row>
    <row r="270" spans="2:6" x14ac:dyDescent="0.2">
      <c r="B270" s="167">
        <f t="shared" si="56"/>
        <v>0.51000000000000101</v>
      </c>
      <c r="C270" s="168">
        <f t="shared" si="52"/>
        <v>0.86015972383462025</v>
      </c>
      <c r="D270" s="168">
        <f t="shared" si="53"/>
        <v>0</v>
      </c>
      <c r="E270" s="168">
        <f t="shared" si="54"/>
        <v>0.13984027616537975</v>
      </c>
      <c r="F270" s="169">
        <f t="shared" si="55"/>
        <v>1.7203194476692405</v>
      </c>
    </row>
    <row r="271" spans="2:6" x14ac:dyDescent="0.2">
      <c r="B271" s="167">
        <f t="shared" si="56"/>
        <v>0.52000000000000102</v>
      </c>
      <c r="C271" s="168">
        <f t="shared" si="52"/>
        <v>0.85415089452827619</v>
      </c>
      <c r="D271" s="168">
        <f t="shared" si="53"/>
        <v>0</v>
      </c>
      <c r="E271" s="168">
        <f t="shared" si="54"/>
        <v>0.14584910547172381</v>
      </c>
      <c r="F271" s="169">
        <f t="shared" si="55"/>
        <v>1.7083017890565524</v>
      </c>
    </row>
    <row r="272" spans="2:6" x14ac:dyDescent="0.2">
      <c r="B272" s="167">
        <f t="shared" si="56"/>
        <v>0.53000000000000103</v>
      </c>
      <c r="C272" s="168">
        <f t="shared" si="52"/>
        <v>0.84798156308049466</v>
      </c>
      <c r="D272" s="168">
        <f t="shared" si="53"/>
        <v>0</v>
      </c>
      <c r="E272" s="168">
        <f t="shared" si="54"/>
        <v>0.15201843691950534</v>
      </c>
      <c r="F272" s="169">
        <f t="shared" si="55"/>
        <v>1.6959631261609893</v>
      </c>
    </row>
    <row r="273" spans="2:6" x14ac:dyDescent="0.2">
      <c r="B273" s="167">
        <f t="shared" si="56"/>
        <v>0.54000000000000103</v>
      </c>
      <c r="C273" s="168">
        <f t="shared" si="52"/>
        <v>0.8416482000279002</v>
      </c>
      <c r="D273" s="168">
        <f t="shared" si="53"/>
        <v>0</v>
      </c>
      <c r="E273" s="168">
        <f t="shared" si="54"/>
        <v>0.1583517999720998</v>
      </c>
      <c r="F273" s="169">
        <f t="shared" si="55"/>
        <v>1.6832964000558004</v>
      </c>
    </row>
    <row r="274" spans="2:6" x14ac:dyDescent="0.2">
      <c r="B274" s="167">
        <f t="shared" si="56"/>
        <v>0.55000000000000104</v>
      </c>
      <c r="C274" s="168">
        <f t="shared" si="52"/>
        <v>0.8351470735629446</v>
      </c>
      <c r="D274" s="168">
        <f t="shared" si="53"/>
        <v>0</v>
      </c>
      <c r="E274" s="168">
        <f t="shared" si="54"/>
        <v>0.1648529264370554</v>
      </c>
      <c r="F274" s="169">
        <f t="shared" si="55"/>
        <v>1.6702941471258892</v>
      </c>
    </row>
    <row r="275" spans="2:6" x14ac:dyDescent="0.2">
      <c r="B275" s="167">
        <f t="shared" si="56"/>
        <v>0.56000000000000105</v>
      </c>
      <c r="C275" s="168">
        <f t="shared" si="52"/>
        <v>0.8284742343223942</v>
      </c>
      <c r="D275" s="168">
        <f t="shared" si="53"/>
        <v>0</v>
      </c>
      <c r="E275" s="168">
        <f t="shared" si="54"/>
        <v>0.1715257656776058</v>
      </c>
      <c r="F275" s="169">
        <f t="shared" si="55"/>
        <v>1.6569484686447884</v>
      </c>
    </row>
    <row r="276" spans="2:6" x14ac:dyDescent="0.2">
      <c r="B276" s="167">
        <f t="shared" si="56"/>
        <v>0.57000000000000106</v>
      </c>
      <c r="C276" s="168">
        <f t="shared" si="52"/>
        <v>0.821625498616118</v>
      </c>
      <c r="D276" s="168">
        <f t="shared" si="53"/>
        <v>0</v>
      </c>
      <c r="E276" s="168">
        <f t="shared" si="54"/>
        <v>0.178374501383882</v>
      </c>
      <c r="F276" s="169">
        <f t="shared" si="55"/>
        <v>1.643250997232236</v>
      </c>
    </row>
    <row r="277" spans="2:6" x14ac:dyDescent="0.2">
      <c r="B277" s="167">
        <f t="shared" si="56"/>
        <v>0.58000000000000107</v>
      </c>
      <c r="C277" s="168">
        <f t="shared" si="52"/>
        <v>0.81459642989708259</v>
      </c>
      <c r="D277" s="168">
        <f t="shared" si="53"/>
        <v>0</v>
      </c>
      <c r="E277" s="168">
        <f t="shared" si="54"/>
        <v>0.18540357010291741</v>
      </c>
      <c r="F277" s="169">
        <f t="shared" si="55"/>
        <v>1.6291928597941652</v>
      </c>
    </row>
    <row r="278" spans="2:6" x14ac:dyDescent="0.2">
      <c r="B278" s="167">
        <f t="shared" si="56"/>
        <v>0.59000000000000108</v>
      </c>
      <c r="C278" s="168">
        <f t="shared" si="52"/>
        <v>0.80738231824256679</v>
      </c>
      <c r="D278" s="168">
        <f t="shared" si="53"/>
        <v>0</v>
      </c>
      <c r="E278" s="168">
        <f t="shared" si="54"/>
        <v>0.19261768175743321</v>
      </c>
      <c r="F278" s="169">
        <f t="shared" si="55"/>
        <v>1.6147646364851336</v>
      </c>
    </row>
    <row r="279" spans="2:6" x14ac:dyDescent="0.2">
      <c r="B279" s="167">
        <f t="shared" si="56"/>
        <v>0.60000000000000109</v>
      </c>
      <c r="C279" s="168">
        <f t="shared" si="52"/>
        <v>0.79997815758006219</v>
      </c>
      <c r="D279" s="168">
        <f t="shared" si="53"/>
        <v>0</v>
      </c>
      <c r="E279" s="168">
        <f t="shared" si="54"/>
        <v>0.20002184241993781</v>
      </c>
      <c r="F279" s="169">
        <f t="shared" si="55"/>
        <v>1.5999563151601244</v>
      </c>
    </row>
    <row r="280" spans="2:6" x14ac:dyDescent="0.2">
      <c r="B280" s="167">
        <f t="shared" ref="B280:B311" si="57">B279+$C$114</f>
        <v>0.6100000000000011</v>
      </c>
      <c r="C280" s="168">
        <f t="shared" si="52"/>
        <v>0.79237862034788697</v>
      </c>
      <c r="D280" s="168">
        <f t="shared" si="53"/>
        <v>0</v>
      </c>
      <c r="E280" s="168">
        <f t="shared" si="54"/>
        <v>0.20762137965211303</v>
      </c>
      <c r="F280" s="169">
        <f t="shared" si="55"/>
        <v>1.5847572406957739</v>
      </c>
    </row>
    <row r="281" spans="2:6" x14ac:dyDescent="0.2">
      <c r="B281" s="167">
        <f t="shared" si="57"/>
        <v>0.62000000000000111</v>
      </c>
      <c r="C281" s="168">
        <f t="shared" si="52"/>
        <v>0.78457802922872588</v>
      </c>
      <c r="D281" s="168">
        <f t="shared" si="53"/>
        <v>0</v>
      </c>
      <c r="E281" s="168">
        <f t="shared" si="54"/>
        <v>0.21542197077127412</v>
      </c>
      <c r="F281" s="169">
        <f t="shared" si="55"/>
        <v>1.5691560584574518</v>
      </c>
    </row>
    <row r="282" spans="2:6" x14ac:dyDescent="0.2">
      <c r="B282" s="167">
        <f t="shared" si="57"/>
        <v>0.63000000000000111</v>
      </c>
      <c r="C282" s="168">
        <f t="shared" si="52"/>
        <v>0.77657032553222305</v>
      </c>
      <c r="D282" s="168">
        <f t="shared" si="53"/>
        <v>0</v>
      </c>
      <c r="E282" s="168">
        <f t="shared" si="54"/>
        <v>0.22342967446777695</v>
      </c>
      <c r="F282" s="169">
        <f t="shared" si="55"/>
        <v>1.5531406510644461</v>
      </c>
    </row>
    <row r="283" spans="2:6" x14ac:dyDescent="0.2">
      <c r="B283" s="167">
        <f t="shared" si="57"/>
        <v>0.64000000000000112</v>
      </c>
      <c r="C283" s="168">
        <f t="shared" si="52"/>
        <v>0.76834903372802832</v>
      </c>
      <c r="D283" s="168">
        <f t="shared" si="53"/>
        <v>0</v>
      </c>
      <c r="E283" s="168">
        <f t="shared" si="54"/>
        <v>0.23165096627197168</v>
      </c>
      <c r="F283" s="169">
        <f t="shared" si="55"/>
        <v>1.5366980674560566</v>
      </c>
    </row>
    <row r="284" spans="2:6" x14ac:dyDescent="0.2">
      <c r="B284" s="167">
        <f t="shared" si="57"/>
        <v>0.65000000000000113</v>
      </c>
      <c r="C284" s="168">
        <f t="shared" si="52"/>
        <v>0.75990722154033208</v>
      </c>
      <c r="D284" s="168">
        <f t="shared" si="53"/>
        <v>0</v>
      </c>
      <c r="E284" s="168">
        <f t="shared" si="54"/>
        <v>0.24009277845966792</v>
      </c>
      <c r="F284" s="169">
        <f t="shared" si="55"/>
        <v>1.5198144430806642</v>
      </c>
    </row>
    <row r="285" spans="2:6" x14ac:dyDescent="0.2">
      <c r="B285" s="167">
        <f t="shared" si="57"/>
        <v>0.66000000000000114</v>
      </c>
      <c r="C285" s="168">
        <f t="shared" si="52"/>
        <v>0.75123745490509242</v>
      </c>
      <c r="D285" s="168">
        <f t="shared" si="53"/>
        <v>0</v>
      </c>
      <c r="E285" s="168">
        <f t="shared" si="54"/>
        <v>0.24876254509490758</v>
      </c>
      <c r="F285" s="169">
        <f t="shared" si="55"/>
        <v>1.5024749098101848</v>
      </c>
    </row>
    <row r="286" spans="2:6" x14ac:dyDescent="0.2">
      <c r="B286" s="167">
        <f t="shared" si="57"/>
        <v>0.67000000000000115</v>
      </c>
      <c r="C286" s="168">
        <f t="shared" si="52"/>
        <v>0.74233174695697535</v>
      </c>
      <c r="D286" s="168">
        <f t="shared" si="53"/>
        <v>0</v>
      </c>
      <c r="E286" s="168">
        <f t="shared" si="54"/>
        <v>0.25766825304302465</v>
      </c>
      <c r="F286" s="169">
        <f t="shared" si="55"/>
        <v>1.4846634939139507</v>
      </c>
    </row>
    <row r="287" spans="2:6" x14ac:dyDescent="0.2">
      <c r="B287" s="167">
        <f t="shared" si="57"/>
        <v>0.68000000000000116</v>
      </c>
      <c r="C287" s="168">
        <f t="shared" si="52"/>
        <v>0.73318150004817317</v>
      </c>
      <c r="D287" s="168">
        <f t="shared" si="53"/>
        <v>0</v>
      </c>
      <c r="E287" s="168">
        <f t="shared" si="54"/>
        <v>0.26681849995182683</v>
      </c>
      <c r="F287" s="169">
        <f t="shared" si="55"/>
        <v>1.4663630000963463</v>
      </c>
    </row>
    <row r="288" spans="2:6" x14ac:dyDescent="0.2">
      <c r="B288" s="167">
        <f t="shared" si="57"/>
        <v>0.69000000000000117</v>
      </c>
      <c r="C288" s="168">
        <f t="shared" si="52"/>
        <v>0.72377743959753593</v>
      </c>
      <c r="D288" s="168">
        <f t="shared" si="53"/>
        <v>0</v>
      </c>
      <c r="E288" s="168">
        <f t="shared" si="54"/>
        <v>0.27622256040246407</v>
      </c>
      <c r="F288" s="169">
        <f t="shared" si="55"/>
        <v>1.4475548791950719</v>
      </c>
    </row>
    <row r="289" spans="2:6" x14ac:dyDescent="0.2">
      <c r="B289" s="167">
        <f t="shared" si="57"/>
        <v>0.70000000000000118</v>
      </c>
      <c r="C289" s="168">
        <f t="shared" si="52"/>
        <v>0.71410953831511093</v>
      </c>
      <c r="D289" s="168">
        <f t="shared" si="53"/>
        <v>0</v>
      </c>
      <c r="E289" s="168">
        <f t="shared" si="54"/>
        <v>0.28589046168488907</v>
      </c>
      <c r="F289" s="169">
        <f t="shared" si="55"/>
        <v>1.4282190766302219</v>
      </c>
    </row>
    <row r="290" spans="2:6" x14ac:dyDescent="0.2">
      <c r="B290" s="167">
        <f t="shared" si="57"/>
        <v>0.71000000000000119</v>
      </c>
      <c r="C290" s="168">
        <f t="shared" si="52"/>
        <v>0.70416692903008271</v>
      </c>
      <c r="D290" s="168">
        <f t="shared" si="53"/>
        <v>0</v>
      </c>
      <c r="E290" s="168">
        <f t="shared" si="54"/>
        <v>0.29583307096991729</v>
      </c>
      <c r="F290" s="169">
        <f t="shared" si="55"/>
        <v>1.4083338580601654</v>
      </c>
    </row>
    <row r="291" spans="2:6" x14ac:dyDescent="0.2">
      <c r="B291" s="167">
        <f t="shared" si="57"/>
        <v>0.72000000000000119</v>
      </c>
      <c r="C291" s="168">
        <f t="shared" si="52"/>
        <v>0.69393780395037907</v>
      </c>
      <c r="D291" s="168">
        <f t="shared" si="53"/>
        <v>0</v>
      </c>
      <c r="E291" s="168">
        <f t="shared" si="54"/>
        <v>0.30606219604962093</v>
      </c>
      <c r="F291" s="169">
        <f t="shared" si="55"/>
        <v>1.3878756079007581</v>
      </c>
    </row>
    <row r="292" spans="2:6" x14ac:dyDescent="0.2">
      <c r="B292" s="167">
        <f t="shared" si="57"/>
        <v>0.7300000000000012</v>
      </c>
      <c r="C292" s="168">
        <f t="shared" si="52"/>
        <v>0.68340929767458736</v>
      </c>
      <c r="D292" s="168">
        <f t="shared" si="53"/>
        <v>0</v>
      </c>
      <c r="E292" s="168">
        <f t="shared" si="54"/>
        <v>0.31659070232541264</v>
      </c>
      <c r="F292" s="169">
        <f t="shared" si="55"/>
        <v>1.3668185953491747</v>
      </c>
    </row>
    <row r="293" spans="2:6" x14ac:dyDescent="0.2">
      <c r="B293" s="167">
        <f t="shared" si="57"/>
        <v>0.74000000000000121</v>
      </c>
      <c r="C293" s="168">
        <f t="shared" si="52"/>
        <v>0.67256735062702189</v>
      </c>
      <c r="D293" s="168">
        <f t="shared" si="53"/>
        <v>0</v>
      </c>
      <c r="E293" s="168">
        <f t="shared" si="54"/>
        <v>0.32743264937297811</v>
      </c>
      <c r="F293" s="169">
        <f t="shared" si="55"/>
        <v>1.3451347012540438</v>
      </c>
    </row>
    <row r="294" spans="2:6" x14ac:dyDescent="0.2">
      <c r="B294" s="167">
        <f t="shared" si="57"/>
        <v>0.75000000000000122</v>
      </c>
      <c r="C294" s="168">
        <f t="shared" si="52"/>
        <v>0.6613965487478829</v>
      </c>
      <c r="D294" s="168">
        <f t="shared" si="53"/>
        <v>0</v>
      </c>
      <c r="E294" s="168">
        <f t="shared" si="54"/>
        <v>0.3386034512521171</v>
      </c>
      <c r="F294" s="169">
        <f t="shared" si="55"/>
        <v>1.3227930974957658</v>
      </c>
    </row>
    <row r="295" spans="2:6" x14ac:dyDescent="0.2">
      <c r="B295" s="167">
        <f t="shared" si="57"/>
        <v>0.76000000000000123</v>
      </c>
      <c r="C295" s="168">
        <f t="shared" si="52"/>
        <v>0.64987993417749912</v>
      </c>
      <c r="D295" s="168">
        <f t="shared" si="53"/>
        <v>0</v>
      </c>
      <c r="E295" s="168">
        <f t="shared" si="54"/>
        <v>0.35012006582250088</v>
      </c>
      <c r="F295" s="169">
        <f t="shared" si="55"/>
        <v>1.2997598683549982</v>
      </c>
    </row>
    <row r="296" spans="2:6" x14ac:dyDescent="0.2">
      <c r="B296" s="167">
        <f t="shared" si="57"/>
        <v>0.77000000000000124</v>
      </c>
      <c r="C296" s="168">
        <f t="shared" si="52"/>
        <v>0.63799878023572376</v>
      </c>
      <c r="D296" s="168">
        <f t="shared" si="53"/>
        <v>0</v>
      </c>
      <c r="E296" s="168">
        <f t="shared" si="54"/>
        <v>0.36200121976427624</v>
      </c>
      <c r="F296" s="169">
        <f t="shared" si="55"/>
        <v>1.2759975604714475</v>
      </c>
    </row>
    <row r="297" spans="2:6" x14ac:dyDescent="0.2">
      <c r="B297" s="167">
        <f t="shared" si="57"/>
        <v>0.78000000000000125</v>
      </c>
      <c r="C297" s="168">
        <f t="shared" si="52"/>
        <v>0.62573232208570828</v>
      </c>
      <c r="D297" s="168">
        <f t="shared" si="53"/>
        <v>0</v>
      </c>
      <c r="E297" s="168">
        <f t="shared" si="54"/>
        <v>0.37426767791429172</v>
      </c>
      <c r="F297" s="169">
        <f t="shared" si="55"/>
        <v>1.2514646441714166</v>
      </c>
    </row>
    <row r="298" spans="2:6" x14ac:dyDescent="0.2">
      <c r="B298" s="167">
        <f t="shared" si="57"/>
        <v>0.79000000000000126</v>
      </c>
      <c r="C298" s="168">
        <f t="shared" si="52"/>
        <v>0.61305743190018869</v>
      </c>
      <c r="D298" s="168">
        <f t="shared" si="53"/>
        <v>0</v>
      </c>
      <c r="E298" s="168">
        <f t="shared" si="54"/>
        <v>0.38694256809981131</v>
      </c>
      <c r="F298" s="169">
        <f t="shared" si="55"/>
        <v>1.2261148638003774</v>
      </c>
    </row>
    <row r="299" spans="2:6" x14ac:dyDescent="0.2">
      <c r="B299" s="167">
        <f t="shared" si="57"/>
        <v>0.80000000000000127</v>
      </c>
      <c r="C299" s="168">
        <f t="shared" si="52"/>
        <v>0.59994822384778934</v>
      </c>
      <c r="D299" s="168">
        <f t="shared" si="53"/>
        <v>0</v>
      </c>
      <c r="E299" s="168">
        <f t="shared" si="54"/>
        <v>0.40005177615221066</v>
      </c>
      <c r="F299" s="169">
        <f t="shared" si="55"/>
        <v>1.1998964476955787</v>
      </c>
    </row>
    <row r="300" spans="2:6" x14ac:dyDescent="0.2">
      <c r="B300" s="167">
        <f t="shared" si="57"/>
        <v>0.81000000000000127</v>
      </c>
      <c r="C300" s="168">
        <f t="shared" si="52"/>
        <v>0.58637556938617452</v>
      </c>
      <c r="D300" s="168">
        <f t="shared" si="53"/>
        <v>0</v>
      </c>
      <c r="E300" s="168">
        <f t="shared" si="54"/>
        <v>0.41362443061382548</v>
      </c>
      <c r="F300" s="169">
        <f t="shared" si="55"/>
        <v>1.172751138772349</v>
      </c>
    </row>
    <row r="301" spans="2:6" x14ac:dyDescent="0.2">
      <c r="B301" s="167">
        <f t="shared" si="57"/>
        <v>0.82000000000000128</v>
      </c>
      <c r="C301" s="168">
        <f t="shared" si="52"/>
        <v>0.57230649658429034</v>
      </c>
      <c r="D301" s="168">
        <f t="shared" si="53"/>
        <v>0</v>
      </c>
      <c r="E301" s="168">
        <f t="shared" si="54"/>
        <v>0.42769350341570966</v>
      </c>
      <c r="F301" s="169">
        <f t="shared" si="55"/>
        <v>1.1446129931685807</v>
      </c>
    </row>
    <row r="302" spans="2:6" x14ac:dyDescent="0.2">
      <c r="B302" s="167">
        <f t="shared" si="57"/>
        <v>0.83000000000000129</v>
      </c>
      <c r="C302" s="168">
        <f t="shared" si="52"/>
        <v>0.55770343756963603</v>
      </c>
      <c r="D302" s="168">
        <f t="shared" si="53"/>
        <v>0</v>
      </c>
      <c r="E302" s="168">
        <f t="shared" si="54"/>
        <v>0.44229656243036397</v>
      </c>
      <c r="F302" s="169">
        <f t="shared" si="55"/>
        <v>1.1154068751392721</v>
      </c>
    </row>
    <row r="303" spans="2:6" x14ac:dyDescent="0.2">
      <c r="B303" s="167">
        <f t="shared" si="57"/>
        <v>0.8400000000000013</v>
      </c>
      <c r="C303" s="168">
        <f t="shared" si="52"/>
        <v>0.54252327425297997</v>
      </c>
      <c r="D303" s="168">
        <f t="shared" si="53"/>
        <v>0</v>
      </c>
      <c r="E303" s="168">
        <f t="shared" si="54"/>
        <v>0.45747672574702003</v>
      </c>
      <c r="F303" s="169">
        <f t="shared" si="55"/>
        <v>1.0850465485059599</v>
      </c>
    </row>
    <row r="304" spans="2:6" x14ac:dyDescent="0.2">
      <c r="B304" s="167">
        <f t="shared" si="57"/>
        <v>0.85000000000000131</v>
      </c>
      <c r="C304" s="168">
        <f t="shared" si="52"/>
        <v>0.52671611188584311</v>
      </c>
      <c r="D304" s="168">
        <f t="shared" si="53"/>
        <v>0</v>
      </c>
      <c r="E304" s="168">
        <f t="shared" si="54"/>
        <v>0.47328388811415689</v>
      </c>
      <c r="F304" s="169">
        <f t="shared" si="55"/>
        <v>1.0534322237716862</v>
      </c>
    </row>
    <row r="305" spans="2:6" x14ac:dyDescent="0.2">
      <c r="B305" s="167">
        <f t="shared" si="57"/>
        <v>0.86000000000000132</v>
      </c>
      <c r="C305" s="168">
        <f t="shared" si="52"/>
        <v>0.51022367890846332</v>
      </c>
      <c r="D305" s="168">
        <f t="shared" si="53"/>
        <v>0</v>
      </c>
      <c r="E305" s="168">
        <f t="shared" si="54"/>
        <v>0.48977632109153668</v>
      </c>
      <c r="F305" s="169">
        <f t="shared" si="55"/>
        <v>1.0204473578169266</v>
      </c>
    </row>
    <row r="306" spans="2:6" x14ac:dyDescent="0.2">
      <c r="B306" s="167">
        <f t="shared" si="57"/>
        <v>0.87000000000000133</v>
      </c>
      <c r="C306" s="168">
        <f t="shared" si="52"/>
        <v>0.49297720343076101</v>
      </c>
      <c r="D306" s="168">
        <f t="shared" si="53"/>
        <v>0</v>
      </c>
      <c r="E306" s="168">
        <f t="shared" si="54"/>
        <v>0.50702279656923899</v>
      </c>
      <c r="F306" s="169">
        <f t="shared" si="55"/>
        <v>0.98595440686152203</v>
      </c>
    </row>
    <row r="307" spans="2:6" x14ac:dyDescent="0.2">
      <c r="B307" s="167">
        <f t="shared" si="57"/>
        <v>0.88000000000000134</v>
      </c>
      <c r="C307" s="168">
        <f t="shared" si="52"/>
        <v>0.47489454015678245</v>
      </c>
      <c r="D307" s="168">
        <f t="shared" si="53"/>
        <v>0</v>
      </c>
      <c r="E307" s="168">
        <f t="shared" si="54"/>
        <v>0.52510545984321755</v>
      </c>
      <c r="F307" s="169">
        <f t="shared" si="55"/>
        <v>0.9497890803135649</v>
      </c>
    </row>
    <row r="308" spans="2:6" x14ac:dyDescent="0.2">
      <c r="B308" s="167">
        <f t="shared" si="57"/>
        <v>0.89000000000000135</v>
      </c>
      <c r="C308" s="168">
        <f t="shared" si="52"/>
        <v>0.45587619593899653</v>
      </c>
      <c r="D308" s="168">
        <f t="shared" si="53"/>
        <v>0</v>
      </c>
      <c r="E308" s="168">
        <f t="shared" si="54"/>
        <v>0.54412380406100347</v>
      </c>
      <c r="F308" s="169">
        <f t="shared" si="55"/>
        <v>0.91175239187799306</v>
      </c>
    </row>
    <row r="309" spans="2:6" x14ac:dyDescent="0.2">
      <c r="B309" s="167">
        <f t="shared" si="57"/>
        <v>0.90000000000000135</v>
      </c>
      <c r="C309" s="168">
        <f t="shared" si="52"/>
        <v>0.43579968834509236</v>
      </c>
      <c r="D309" s="168">
        <f t="shared" si="53"/>
        <v>0</v>
      </c>
      <c r="E309" s="168">
        <f t="shared" si="54"/>
        <v>0.56420031165490769</v>
      </c>
      <c r="F309" s="169">
        <f t="shared" si="55"/>
        <v>0.87159937669018472</v>
      </c>
    </row>
    <row r="310" spans="2:6" x14ac:dyDescent="0.2">
      <c r="B310" s="167">
        <f t="shared" si="57"/>
        <v>0.91000000000000136</v>
      </c>
      <c r="C310" s="168">
        <f t="shared" si="52"/>
        <v>0.41451129210713844</v>
      </c>
      <c r="D310" s="168">
        <f t="shared" si="53"/>
        <v>0</v>
      </c>
      <c r="E310" s="168">
        <f t="shared" si="54"/>
        <v>0.58548870789286156</v>
      </c>
      <c r="F310" s="169">
        <f t="shared" si="55"/>
        <v>0.82902258421427688</v>
      </c>
    </row>
    <row r="311" spans="2:6" x14ac:dyDescent="0.2">
      <c r="B311" s="167">
        <f t="shared" si="57"/>
        <v>0.92000000000000137</v>
      </c>
      <c r="C311" s="168">
        <f t="shared" ref="C311:C319" si="58">IFERROR(IF(SQRT(1-(B311*B311)/($F$115*$F$115))&lt;0.05,0,SQRT(1-(B311*B311)/($F$115*$F$115))),0)</f>
        <v>0.39181352043001283</v>
      </c>
      <c r="D311" s="168">
        <f t="shared" ref="D311:D319" si="59">CHOOSE(MATCH($F$113,degrees),IF(B311&lt;0,IFERROR(1-C311,1),0),0,0,IF(B311&gt;0,IFERROR(1-C311,1),0))</f>
        <v>0</v>
      </c>
      <c r="E311" s="168">
        <f t="shared" ref="E311:E319" si="60">CHOOSE(MATCH($F$113,degrees),IF(B311&lt;0,2*C311,2),IF(B311&lt;0,0,1-C311),IF(B311&gt;0,0,1-C311),IF(B311&gt;0,2*C311,2))</f>
        <v>0.60818647956998717</v>
      </c>
      <c r="F311" s="169">
        <f t="shared" ref="F311:F319" si="61">CHOOSE(MATCH($F$113,degrees),IF(B311&lt;0,C311+1,2),IF(B311&lt;0,2,2*C311),IF(B311&gt;0,2,2*C311),IF(B311&gt;0,C311+1,2))</f>
        <v>0.78362704086002566</v>
      </c>
    </row>
    <row r="312" spans="2:6" x14ac:dyDescent="0.2">
      <c r="B312" s="167">
        <f t="shared" ref="B312:B319" si="62">B311+$C$114</f>
        <v>0.93000000000000138</v>
      </c>
      <c r="C312" s="168">
        <f t="shared" si="58"/>
        <v>0.36744528692578338</v>
      </c>
      <c r="D312" s="168">
        <f t="shared" si="59"/>
        <v>0</v>
      </c>
      <c r="E312" s="168">
        <f t="shared" si="60"/>
        <v>0.63255471307421662</v>
      </c>
      <c r="F312" s="169">
        <f t="shared" si="61"/>
        <v>0.73489057385156675</v>
      </c>
    </row>
    <row r="313" spans="2:6" x14ac:dyDescent="0.2">
      <c r="B313" s="167">
        <f t="shared" si="62"/>
        <v>0.94000000000000139</v>
      </c>
      <c r="C313" s="168">
        <f t="shared" si="58"/>
        <v>0.34104871141959048</v>
      </c>
      <c r="D313" s="168">
        <f t="shared" si="59"/>
        <v>0</v>
      </c>
      <c r="E313" s="168">
        <f t="shared" si="60"/>
        <v>0.65895128858040952</v>
      </c>
      <c r="F313" s="169">
        <f t="shared" si="61"/>
        <v>0.68209742283918096</v>
      </c>
    </row>
    <row r="314" spans="2:6" x14ac:dyDescent="0.2">
      <c r="B314" s="167">
        <f t="shared" si="62"/>
        <v>0.9500000000000014</v>
      </c>
      <c r="C314" s="168">
        <f t="shared" si="58"/>
        <v>0.31210957822972324</v>
      </c>
      <c r="D314" s="168">
        <f t="shared" si="59"/>
        <v>0</v>
      </c>
      <c r="E314" s="168">
        <f t="shared" si="60"/>
        <v>0.68789042177027682</v>
      </c>
      <c r="F314" s="169">
        <f t="shared" si="61"/>
        <v>0.62421915645944648</v>
      </c>
    </row>
    <row r="315" spans="2:6" x14ac:dyDescent="0.2">
      <c r="B315" s="167">
        <f t="shared" si="62"/>
        <v>0.96000000000000141</v>
      </c>
      <c r="C315" s="168">
        <f t="shared" si="58"/>
        <v>0.2798401948778782</v>
      </c>
      <c r="D315" s="168">
        <f t="shared" si="59"/>
        <v>0</v>
      </c>
      <c r="E315" s="168">
        <f t="shared" si="60"/>
        <v>0.72015980512212185</v>
      </c>
      <c r="F315" s="169">
        <f t="shared" si="61"/>
        <v>0.5596803897557564</v>
      </c>
    </row>
    <row r="316" spans="2:6" x14ac:dyDescent="0.2">
      <c r="B316" s="167">
        <f t="shared" si="62"/>
        <v>0.97000000000000142</v>
      </c>
      <c r="C316" s="168">
        <f t="shared" si="58"/>
        <v>0.24291698396905628</v>
      </c>
      <c r="D316" s="168">
        <f t="shared" si="59"/>
        <v>0</v>
      </c>
      <c r="E316" s="168">
        <f t="shared" si="60"/>
        <v>0.75708301603094375</v>
      </c>
      <c r="F316" s="169">
        <f t="shared" si="61"/>
        <v>0.48583396793811257</v>
      </c>
    </row>
    <row r="317" spans="2:6" x14ac:dyDescent="0.2">
      <c r="B317" s="167">
        <f t="shared" si="62"/>
        <v>0.98000000000000143</v>
      </c>
      <c r="C317" s="168">
        <f t="shared" si="58"/>
        <v>0.19876309545973883</v>
      </c>
      <c r="D317" s="168">
        <f t="shared" si="59"/>
        <v>0</v>
      </c>
      <c r="E317" s="168">
        <f t="shared" si="60"/>
        <v>0.8012369045402612</v>
      </c>
      <c r="F317" s="169">
        <f t="shared" si="61"/>
        <v>0.39752619091947766</v>
      </c>
    </row>
    <row r="318" spans="2:6" x14ac:dyDescent="0.2">
      <c r="B318" s="167">
        <f t="shared" si="62"/>
        <v>0.99000000000000143</v>
      </c>
      <c r="C318" s="168">
        <f t="shared" si="58"/>
        <v>0.14072972577828916</v>
      </c>
      <c r="D318" s="168">
        <f t="shared" si="59"/>
        <v>0</v>
      </c>
      <c r="E318" s="168">
        <f t="shared" si="60"/>
        <v>0.85927027422171087</v>
      </c>
      <c r="F318" s="169">
        <f t="shared" si="61"/>
        <v>0.28145945155657831</v>
      </c>
    </row>
    <row r="319" spans="2:6" x14ac:dyDescent="0.2">
      <c r="B319" s="164">
        <f t="shared" si="62"/>
        <v>1.0000000000000013</v>
      </c>
      <c r="C319" s="165">
        <f t="shared" si="58"/>
        <v>0</v>
      </c>
      <c r="D319" s="165">
        <f t="shared" si="59"/>
        <v>0</v>
      </c>
      <c r="E319" s="165">
        <f t="shared" si="60"/>
        <v>1</v>
      </c>
      <c r="F319" s="170">
        <f t="shared" si="61"/>
        <v>0</v>
      </c>
    </row>
    <row r="322" spans="2:15" x14ac:dyDescent="0.2">
      <c r="B322" s="174" t="s">
        <v>137</v>
      </c>
      <c r="C322" s="175"/>
      <c r="D322" s="174" t="s">
        <v>138</v>
      </c>
      <c r="E322" s="175"/>
      <c r="F322" s="174" t="s">
        <v>77</v>
      </c>
      <c r="G322" s="175"/>
      <c r="H322" s="174" t="s">
        <v>82</v>
      </c>
      <c r="I322" s="175"/>
      <c r="J322" s="174" t="s">
        <v>80</v>
      </c>
      <c r="K322" s="175"/>
      <c r="L322" s="174" t="s">
        <v>94</v>
      </c>
      <c r="M322" s="175"/>
      <c r="N322" s="174" t="str">
        <f>F322</f>
        <v>New Moon</v>
      </c>
      <c r="O322" s="175"/>
    </row>
    <row r="323" spans="2:15" x14ac:dyDescent="0.2">
      <c r="B323" s="176" t="s">
        <v>0</v>
      </c>
      <c r="C323" s="177">
        <f>YEAR('Moon Phases'!AA8)</f>
        <v>2024</v>
      </c>
      <c r="D323" s="176" t="s">
        <v>0</v>
      </c>
      <c r="E323" s="177">
        <f>YEAR('Moon Phases'!AA16)</f>
        <v>2024</v>
      </c>
      <c r="F323" s="176" t="s">
        <v>5</v>
      </c>
      <c r="G323" s="178">
        <f>Calculations!C108</f>
        <v>2460497.4572961209</v>
      </c>
      <c r="H323" s="176" t="s">
        <v>5</v>
      </c>
      <c r="I323" s="178">
        <f>Calculations!M108</f>
        <v>2460505.4512502346</v>
      </c>
      <c r="J323" s="176" t="s">
        <v>5</v>
      </c>
      <c r="K323" s="178">
        <f>Calculations!W108</f>
        <v>2460512.9293366508</v>
      </c>
      <c r="L323" s="176" t="s">
        <v>5</v>
      </c>
      <c r="M323" s="178">
        <f>Calculations!AG108</f>
        <v>2460519.6199821285</v>
      </c>
      <c r="N323" s="176" t="s">
        <v>5</v>
      </c>
      <c r="O323" s="178">
        <f>Calculations!AQ108</f>
        <v>2460526.9681622335</v>
      </c>
    </row>
    <row r="324" spans="2:15" ht="18" x14ac:dyDescent="0.25">
      <c r="B324" s="179"/>
      <c r="C324" s="180"/>
      <c r="D324" s="179"/>
      <c r="E324" s="180"/>
      <c r="F324" s="179" t="s">
        <v>148</v>
      </c>
      <c r="G324" s="181">
        <f>IF(G323-INT(G323)&gt;= 0.5,INT(G323+1),INT(G323))</f>
        <v>2460497</v>
      </c>
      <c r="H324" s="179" t="s">
        <v>148</v>
      </c>
      <c r="I324" s="181">
        <f>IF(I323-INT(I323)&gt;= 0.5,INT(I323+1),INT(I323))</f>
        <v>2460505</v>
      </c>
      <c r="J324" s="179" t="s">
        <v>148</v>
      </c>
      <c r="K324" s="181">
        <f>IF(K323-INT(K323)&gt;= 0.5,INT(K323+1),INT(K323))</f>
        <v>2460513</v>
      </c>
      <c r="L324" s="179" t="s">
        <v>148</v>
      </c>
      <c r="M324" s="181">
        <f>IF(M323-INT(M323)&gt;= 0.5,INT(M323+1),INT(M323))</f>
        <v>2460520</v>
      </c>
      <c r="N324" s="179" t="s">
        <v>148</v>
      </c>
      <c r="O324" s="181">
        <f>IF(O323-INT(O323)&gt;= 0.5,INT(O323+1),INT(O323))</f>
        <v>2460527</v>
      </c>
    </row>
    <row r="325" spans="2:15" x14ac:dyDescent="0.2">
      <c r="B325" s="179" t="s">
        <v>1</v>
      </c>
      <c r="C325" s="180">
        <f>MONTH('Moon Phases'!AA8)</f>
        <v>7</v>
      </c>
      <c r="D325" s="179" t="s">
        <v>1</v>
      </c>
      <c r="E325" s="180">
        <f>MONTH('Moon Phases'!AA16)</f>
        <v>7</v>
      </c>
      <c r="F325" s="179" t="s">
        <v>0</v>
      </c>
      <c r="G325" s="182">
        <f>INT(G332/1461)-4716+INT((12+2-G326)/12)</f>
        <v>2024</v>
      </c>
      <c r="H325" s="179" t="s">
        <v>0</v>
      </c>
      <c r="I325" s="182">
        <f>INT(I332/1461)-4716+INT((12+2-I326)/12)</f>
        <v>2024</v>
      </c>
      <c r="J325" s="179" t="s">
        <v>0</v>
      </c>
      <c r="K325" s="182">
        <f>INT(K332/1461)-4716+INT((12+2-K326)/12)</f>
        <v>2024</v>
      </c>
      <c r="L325" s="179" t="s">
        <v>0</v>
      </c>
      <c r="M325" s="182">
        <f>INT(M332/1461)-4716+INT((12+2-M326)/12)</f>
        <v>2024</v>
      </c>
      <c r="N325" s="179" t="s">
        <v>0</v>
      </c>
      <c r="O325" s="182">
        <f>INT(O332/1461)-4716+INT((12+2-O326)/12)</f>
        <v>2024</v>
      </c>
    </row>
    <row r="326" spans="2:15" x14ac:dyDescent="0.2">
      <c r="B326" s="179" t="s">
        <v>2</v>
      </c>
      <c r="C326" s="180">
        <f>DAY('Moon Phases'!AA8)</f>
        <v>1</v>
      </c>
      <c r="D326" s="179" t="s">
        <v>2</v>
      </c>
      <c r="E326" s="180">
        <f>DAY('Moon Phases'!AA16)</f>
        <v>6</v>
      </c>
      <c r="F326" s="179" t="s">
        <v>1</v>
      </c>
      <c r="G326" s="182">
        <f>MOD(INT((G334/G344)+G345),G346)+1</f>
        <v>7</v>
      </c>
      <c r="H326" s="179" t="s">
        <v>1</v>
      </c>
      <c r="I326" s="182">
        <f>MOD(INT((I334/I344)+I345),I346)+1</f>
        <v>7</v>
      </c>
      <c r="J326" s="179" t="s">
        <v>1</v>
      </c>
      <c r="K326" s="182">
        <f>MOD(INT((K334/K344)+K345),K346)+1</f>
        <v>7</v>
      </c>
      <c r="L326" s="179" t="s">
        <v>1</v>
      </c>
      <c r="M326" s="182">
        <f>MOD(INT((M334/M344)+M345),M346)+1</f>
        <v>7</v>
      </c>
      <c r="N326" s="179" t="s">
        <v>1</v>
      </c>
      <c r="O326" s="182">
        <f>MOD(INT((O334/O344)+O345),O346)+1</f>
        <v>8</v>
      </c>
    </row>
    <row r="327" spans="2:15" x14ac:dyDescent="0.2">
      <c r="B327" s="179" t="s">
        <v>4</v>
      </c>
      <c r="C327" s="180">
        <v>12</v>
      </c>
      <c r="D327" s="179" t="s">
        <v>4</v>
      </c>
      <c r="E327" s="180">
        <v>12</v>
      </c>
      <c r="F327" s="179" t="s">
        <v>135</v>
      </c>
      <c r="G327" s="182">
        <f>INT(MOD(G334,G344)/G342)+1</f>
        <v>5</v>
      </c>
      <c r="H327" s="179" t="s">
        <v>135</v>
      </c>
      <c r="I327" s="182">
        <f>INT(MOD(I334,I344)/I342)+1</f>
        <v>13</v>
      </c>
      <c r="J327" s="179" t="s">
        <v>135</v>
      </c>
      <c r="K327" s="182">
        <f>INT(MOD(K334,K344)/K342)+1</f>
        <v>21</v>
      </c>
      <c r="L327" s="179" t="s">
        <v>135</v>
      </c>
      <c r="M327" s="182">
        <f>INT(MOD(M334,M344)/M342)+1</f>
        <v>28</v>
      </c>
      <c r="N327" s="179" t="s">
        <v>135</v>
      </c>
      <c r="O327" s="182">
        <f>INT(MOD(O334,O344)/O342)+1</f>
        <v>4</v>
      </c>
    </row>
    <row r="328" spans="2:15" x14ac:dyDescent="0.2">
      <c r="B328" s="179" t="s">
        <v>134</v>
      </c>
      <c r="C328" s="180">
        <v>0</v>
      </c>
      <c r="D328" s="179" t="s">
        <v>134</v>
      </c>
      <c r="E328" s="180">
        <v>0</v>
      </c>
      <c r="F328" s="179" t="s">
        <v>4</v>
      </c>
      <c r="G328" s="182">
        <f>INT(G347*24)</f>
        <v>22</v>
      </c>
      <c r="H328" s="179" t="s">
        <v>4</v>
      </c>
      <c r="I328" s="182">
        <f>INT(I347*24)</f>
        <v>22</v>
      </c>
      <c r="J328" s="179" t="s">
        <v>4</v>
      </c>
      <c r="K328" s="182">
        <f>INT(K347*24)</f>
        <v>10</v>
      </c>
      <c r="L328" s="179" t="s">
        <v>4</v>
      </c>
      <c r="M328" s="182">
        <f>INT(M347*24)</f>
        <v>2</v>
      </c>
      <c r="N328" s="179" t="s">
        <v>4</v>
      </c>
      <c r="O328" s="182">
        <f>INT(O347*24)</f>
        <v>11</v>
      </c>
    </row>
    <row r="329" spans="2:15" x14ac:dyDescent="0.2">
      <c r="B329" s="179" t="s">
        <v>133</v>
      </c>
      <c r="C329" s="180">
        <v>0</v>
      </c>
      <c r="D329" s="179" t="s">
        <v>133</v>
      </c>
      <c r="E329" s="180">
        <v>0</v>
      </c>
      <c r="F329" s="179" t="s">
        <v>134</v>
      </c>
      <c r="G329" s="182">
        <f>INT((ROUND(24*60*60*G347,0)-3600*G328)/60)</f>
        <v>58</v>
      </c>
      <c r="H329" s="179" t="s">
        <v>134</v>
      </c>
      <c r="I329" s="182">
        <f>INT((ROUND(24*60*60*I347,0)-3600*I328)/60)</f>
        <v>49</v>
      </c>
      <c r="J329" s="179" t="s">
        <v>134</v>
      </c>
      <c r="K329" s="182">
        <f>INT((ROUND(24*60*60*K347,0)-3600*K328)/60)</f>
        <v>18</v>
      </c>
      <c r="L329" s="179" t="s">
        <v>134</v>
      </c>
      <c r="M329" s="182">
        <f>INT((ROUND(24*60*60*M347,0)-3600*M328)/60)</f>
        <v>52</v>
      </c>
      <c r="N329" s="179" t="s">
        <v>134</v>
      </c>
      <c r="O329" s="182">
        <f>INT((ROUND(24*60*60*O347,0)-3600*O328)/60)</f>
        <v>14</v>
      </c>
    </row>
    <row r="330" spans="2:15" x14ac:dyDescent="0.2">
      <c r="B330" s="70"/>
      <c r="C330" s="106"/>
      <c r="D330" s="70"/>
      <c r="E330" s="106"/>
      <c r="F330" s="179" t="s">
        <v>133</v>
      </c>
      <c r="G330" s="182">
        <f>INT(MOD(ROUND(G347*24*60*60,0),60))</f>
        <v>30</v>
      </c>
      <c r="H330" s="179" t="s">
        <v>133</v>
      </c>
      <c r="I330" s="182">
        <f>INT(MOD(ROUND(I347*24*60*60,0),60))</f>
        <v>48</v>
      </c>
      <c r="J330" s="179" t="s">
        <v>133</v>
      </c>
      <c r="K330" s="182">
        <f>INT(MOD(ROUND(K347*24*60*60,0),60))</f>
        <v>15</v>
      </c>
      <c r="L330" s="179" t="s">
        <v>133</v>
      </c>
      <c r="M330" s="182">
        <f>INT(MOD(ROUND(M347*24*60*60,0),60))</f>
        <v>46</v>
      </c>
      <c r="N330" s="179" t="s">
        <v>133</v>
      </c>
      <c r="O330" s="182">
        <f>INT(MOD(ROUND(O347*24*60*60,0),60))</f>
        <v>9</v>
      </c>
    </row>
    <row r="331" spans="2:15" x14ac:dyDescent="0.2">
      <c r="B331" s="70" t="s">
        <v>13</v>
      </c>
      <c r="C331" s="106">
        <f>(3600*C327+60*C328+C329)/(24*60*60)</f>
        <v>0.5</v>
      </c>
      <c r="D331" s="70" t="s">
        <v>13</v>
      </c>
      <c r="E331" s="106">
        <f>(3600*E327+60*E328+E329)/(24*60*60)</f>
        <v>0.5</v>
      </c>
      <c r="F331" s="70" t="s">
        <v>44</v>
      </c>
      <c r="G331" s="107">
        <f>INT(G324+G336+(INT(INT((4*G324+G337)/146097)*3)/4)+G338)</f>
        <v>2461911</v>
      </c>
      <c r="H331" s="70" t="s">
        <v>44</v>
      </c>
      <c r="I331" s="107">
        <f>INT(I324+I336+(INT(INT((4*I324+I337)/146097)*3)/4)+I338)</f>
        <v>2461919</v>
      </c>
      <c r="J331" s="70" t="s">
        <v>44</v>
      </c>
      <c r="K331" s="107">
        <f>INT(K324+K336+(INT(INT((4*K324+K337)/146097)*3)/4)+K338)</f>
        <v>2461927</v>
      </c>
      <c r="L331" s="70" t="s">
        <v>44</v>
      </c>
      <c r="M331" s="107">
        <f>INT(M324+M336+(INT(INT((4*M324+M337)/146097)*3)/4)+M338)</f>
        <v>2461934</v>
      </c>
      <c r="N331" s="70" t="s">
        <v>44</v>
      </c>
      <c r="O331" s="107">
        <f>INT(O324+O336+(INT(INT((4*O324+O337)/146097)*3)/4)+O338)</f>
        <v>2461941</v>
      </c>
    </row>
    <row r="332" spans="2:15" x14ac:dyDescent="0.2">
      <c r="B332" s="70"/>
      <c r="C332" s="106"/>
      <c r="D332" s="70"/>
      <c r="E332" s="106"/>
      <c r="F332" s="70" t="s">
        <v>43</v>
      </c>
      <c r="G332" s="107">
        <f>G339*G331+G340</f>
        <v>9847647</v>
      </c>
      <c r="H332" s="70" t="s">
        <v>43</v>
      </c>
      <c r="I332" s="107">
        <f>I339*I331+I340</f>
        <v>9847679</v>
      </c>
      <c r="J332" s="70" t="s">
        <v>43</v>
      </c>
      <c r="K332" s="107">
        <f>K339*K331+K340</f>
        <v>9847711</v>
      </c>
      <c r="L332" s="70" t="s">
        <v>43</v>
      </c>
      <c r="M332" s="107">
        <f>M339*M331+M340</f>
        <v>9847739</v>
      </c>
      <c r="N332" s="70" t="s">
        <v>43</v>
      </c>
      <c r="O332" s="107">
        <f>O339*O331+O340</f>
        <v>9847767</v>
      </c>
    </row>
    <row r="333" spans="2:15" x14ac:dyDescent="0.2">
      <c r="B333" s="70" t="s">
        <v>56</v>
      </c>
      <c r="C333" s="106">
        <f>IF(C325&gt;2,C323,C323-1)</f>
        <v>2024</v>
      </c>
      <c r="D333" s="70" t="s">
        <v>56</v>
      </c>
      <c r="E333" s="106">
        <f>IF(E325&gt;2,E323,E323-1)</f>
        <v>2024</v>
      </c>
      <c r="F333" s="70" t="s">
        <v>65</v>
      </c>
      <c r="G333" s="107">
        <f>INT(MOD(G332,G341)/G339)</f>
        <v>126</v>
      </c>
      <c r="H333" s="70" t="s">
        <v>65</v>
      </c>
      <c r="I333" s="107">
        <f>INT(MOD(I332,I341)/I339)</f>
        <v>134</v>
      </c>
      <c r="J333" s="70" t="s">
        <v>65</v>
      </c>
      <c r="K333" s="107">
        <f>INT(MOD(K332,K341)/K339)</f>
        <v>142</v>
      </c>
      <c r="L333" s="70" t="s">
        <v>65</v>
      </c>
      <c r="M333" s="107">
        <f>INT(MOD(M332,M341)/M339)</f>
        <v>149</v>
      </c>
      <c r="N333" s="70" t="s">
        <v>65</v>
      </c>
      <c r="O333" s="107">
        <f>INT(MOD(O332,O341)/O339)</f>
        <v>156</v>
      </c>
    </row>
    <row r="334" spans="2:15" x14ac:dyDescent="0.2">
      <c r="B334" s="70" t="s">
        <v>57</v>
      </c>
      <c r="C334" s="106">
        <f>IF(C325&gt;2,C325,C325+12)</f>
        <v>7</v>
      </c>
      <c r="D334" s="70" t="s">
        <v>57</v>
      </c>
      <c r="E334" s="106">
        <f>IF(E325&gt;2,E325,E325+12)</f>
        <v>7</v>
      </c>
      <c r="F334" s="70" t="s">
        <v>132</v>
      </c>
      <c r="G334" s="107">
        <f>G342*G333+G343</f>
        <v>632</v>
      </c>
      <c r="H334" s="70" t="s">
        <v>132</v>
      </c>
      <c r="I334" s="107">
        <f>I342*I333+I343</f>
        <v>672</v>
      </c>
      <c r="J334" s="70" t="s">
        <v>132</v>
      </c>
      <c r="K334" s="107">
        <f>K342*K333+K343</f>
        <v>712</v>
      </c>
      <c r="L334" s="70" t="s">
        <v>132</v>
      </c>
      <c r="M334" s="107">
        <f>M342*M333+M343</f>
        <v>747</v>
      </c>
      <c r="N334" s="70" t="s">
        <v>132</v>
      </c>
      <c r="O334" s="107">
        <f>O342*O333+O343</f>
        <v>782</v>
      </c>
    </row>
    <row r="335" spans="2:15" x14ac:dyDescent="0.2">
      <c r="B335" s="70" t="s">
        <v>50</v>
      </c>
      <c r="C335" s="106">
        <f>INT(C333/100)</f>
        <v>20</v>
      </c>
      <c r="D335" s="70" t="s">
        <v>50</v>
      </c>
      <c r="E335" s="106">
        <f>INT(E333/100)</f>
        <v>20</v>
      </c>
      <c r="F335" s="70"/>
      <c r="G335" s="107"/>
      <c r="H335" s="70"/>
      <c r="I335" s="107"/>
      <c r="J335" s="70"/>
      <c r="K335" s="107"/>
      <c r="L335" s="70"/>
      <c r="M335" s="107"/>
      <c r="N335" s="70"/>
      <c r="O335" s="107"/>
    </row>
    <row r="336" spans="2:15" x14ac:dyDescent="0.2">
      <c r="B336" s="70" t="s">
        <v>52</v>
      </c>
      <c r="C336" s="106">
        <f>INT(C335/4)</f>
        <v>5</v>
      </c>
      <c r="D336" s="70" t="s">
        <v>52</v>
      </c>
      <c r="E336" s="106">
        <f>INT(E335/4)</f>
        <v>5</v>
      </c>
      <c r="F336" s="70" t="s">
        <v>59</v>
      </c>
      <c r="G336" s="107">
        <v>1401</v>
      </c>
      <c r="H336" s="70" t="s">
        <v>59</v>
      </c>
      <c r="I336" s="107">
        <v>1401</v>
      </c>
      <c r="J336" s="70" t="s">
        <v>59</v>
      </c>
      <c r="K336" s="107">
        <v>1401</v>
      </c>
      <c r="L336" s="70" t="s">
        <v>59</v>
      </c>
      <c r="M336" s="107">
        <v>1401</v>
      </c>
      <c r="N336" s="70" t="s">
        <v>59</v>
      </c>
      <c r="O336" s="107">
        <v>1401</v>
      </c>
    </row>
    <row r="337" spans="2:15" x14ac:dyDescent="0.2">
      <c r="B337" s="70" t="s">
        <v>53</v>
      </c>
      <c r="C337" s="106">
        <f>2-C335+C336</f>
        <v>-13</v>
      </c>
      <c r="D337" s="70" t="s">
        <v>53</v>
      </c>
      <c r="E337" s="106">
        <f>2-E335+E336</f>
        <v>-13</v>
      </c>
      <c r="F337" s="70" t="s">
        <v>52</v>
      </c>
      <c r="G337" s="107">
        <v>274277</v>
      </c>
      <c r="H337" s="70" t="s">
        <v>52</v>
      </c>
      <c r="I337" s="107">
        <v>274277</v>
      </c>
      <c r="J337" s="70" t="s">
        <v>52</v>
      </c>
      <c r="K337" s="107">
        <v>274277</v>
      </c>
      <c r="L337" s="70" t="s">
        <v>52</v>
      </c>
      <c r="M337" s="107">
        <v>274277</v>
      </c>
      <c r="N337" s="70" t="s">
        <v>52</v>
      </c>
      <c r="O337" s="107">
        <v>274277</v>
      </c>
    </row>
    <row r="338" spans="2:15" x14ac:dyDescent="0.2">
      <c r="B338" s="70" t="s">
        <v>58</v>
      </c>
      <c r="C338" s="106">
        <f>C326</f>
        <v>1</v>
      </c>
      <c r="D338" s="70" t="s">
        <v>58</v>
      </c>
      <c r="E338" s="106">
        <f>E326</f>
        <v>6</v>
      </c>
      <c r="F338" s="70" t="s">
        <v>53</v>
      </c>
      <c r="G338" s="107">
        <v>-38</v>
      </c>
      <c r="H338" s="70" t="s">
        <v>53</v>
      </c>
      <c r="I338" s="107">
        <v>-38</v>
      </c>
      <c r="J338" s="70" t="s">
        <v>53</v>
      </c>
      <c r="K338" s="107">
        <v>-38</v>
      </c>
      <c r="L338" s="70" t="s">
        <v>53</v>
      </c>
      <c r="M338" s="107">
        <v>-38</v>
      </c>
      <c r="N338" s="70" t="s">
        <v>53</v>
      </c>
      <c r="O338" s="107">
        <v>-38</v>
      </c>
    </row>
    <row r="339" spans="2:15" x14ac:dyDescent="0.2">
      <c r="B339" s="70" t="s">
        <v>54</v>
      </c>
      <c r="C339" s="106">
        <f>INT(365.25*(C333+4716))</f>
        <v>2461785</v>
      </c>
      <c r="D339" s="70" t="s">
        <v>54</v>
      </c>
      <c r="E339" s="106">
        <f>INT(365.25*(E333+4716))</f>
        <v>2461785</v>
      </c>
      <c r="F339" s="70" t="s">
        <v>11</v>
      </c>
      <c r="G339" s="72">
        <v>4</v>
      </c>
      <c r="H339" s="70" t="s">
        <v>11</v>
      </c>
      <c r="I339" s="72">
        <v>4</v>
      </c>
      <c r="J339" s="70" t="s">
        <v>11</v>
      </c>
      <c r="K339" s="72">
        <v>4</v>
      </c>
      <c r="L339" s="70" t="s">
        <v>11</v>
      </c>
      <c r="M339" s="72">
        <v>4</v>
      </c>
      <c r="N339" s="70" t="s">
        <v>11</v>
      </c>
      <c r="O339" s="72">
        <v>4</v>
      </c>
    </row>
    <row r="340" spans="2:15" x14ac:dyDescent="0.2">
      <c r="B340" s="70" t="s">
        <v>55</v>
      </c>
      <c r="C340" s="106">
        <f>INT(30.6001*(C334+1))</f>
        <v>244</v>
      </c>
      <c r="D340" s="70" t="s">
        <v>55</v>
      </c>
      <c r="E340" s="106">
        <f>INT(30.6001*(E334+1))</f>
        <v>244</v>
      </c>
      <c r="F340" s="70" t="s">
        <v>60</v>
      </c>
      <c r="G340" s="107">
        <v>3</v>
      </c>
      <c r="H340" s="70" t="s">
        <v>60</v>
      </c>
      <c r="I340" s="107">
        <v>3</v>
      </c>
      <c r="J340" s="70" t="s">
        <v>60</v>
      </c>
      <c r="K340" s="107">
        <v>3</v>
      </c>
      <c r="L340" s="70" t="s">
        <v>60</v>
      </c>
      <c r="M340" s="107">
        <v>3</v>
      </c>
      <c r="N340" s="70" t="s">
        <v>60</v>
      </c>
      <c r="O340" s="107">
        <v>3</v>
      </c>
    </row>
    <row r="341" spans="2:15" x14ac:dyDescent="0.2">
      <c r="B341" s="179" t="s">
        <v>5</v>
      </c>
      <c r="C341" s="183">
        <f>C337+C338+C339+C340-1524.5+C331</f>
        <v>2460493</v>
      </c>
      <c r="D341" s="179" t="s">
        <v>5</v>
      </c>
      <c r="E341" s="183">
        <f>E337+E338+E339+E340-1524.5+E331</f>
        <v>2460498</v>
      </c>
      <c r="F341" s="70" t="s">
        <v>61</v>
      </c>
      <c r="G341" s="72">
        <v>1461</v>
      </c>
      <c r="H341" s="70" t="s">
        <v>61</v>
      </c>
      <c r="I341" s="72">
        <v>1461</v>
      </c>
      <c r="J341" s="70" t="s">
        <v>61</v>
      </c>
      <c r="K341" s="72">
        <v>1461</v>
      </c>
      <c r="L341" s="70" t="s">
        <v>61</v>
      </c>
      <c r="M341" s="72">
        <v>1461</v>
      </c>
      <c r="N341" s="70" t="s">
        <v>61</v>
      </c>
      <c r="O341" s="72">
        <v>1461</v>
      </c>
    </row>
    <row r="342" spans="2:15" x14ac:dyDescent="0.2">
      <c r="B342" s="70"/>
      <c r="C342" s="106"/>
      <c r="D342" s="70"/>
      <c r="E342" s="106"/>
      <c r="F342" s="70" t="s">
        <v>45</v>
      </c>
      <c r="G342" s="107">
        <v>5</v>
      </c>
      <c r="H342" s="70" t="s">
        <v>45</v>
      </c>
      <c r="I342" s="107">
        <v>5</v>
      </c>
      <c r="J342" s="70" t="s">
        <v>45</v>
      </c>
      <c r="K342" s="107">
        <v>5</v>
      </c>
      <c r="L342" s="70" t="s">
        <v>45</v>
      </c>
      <c r="M342" s="107">
        <v>5</v>
      </c>
      <c r="N342" s="70" t="s">
        <v>45</v>
      </c>
      <c r="O342" s="107">
        <v>5</v>
      </c>
    </row>
    <row r="343" spans="2:15" x14ac:dyDescent="0.2">
      <c r="B343" s="70"/>
      <c r="C343" s="106"/>
      <c r="D343" s="70"/>
      <c r="E343" s="106"/>
      <c r="F343" s="70" t="s">
        <v>62</v>
      </c>
      <c r="G343" s="107">
        <v>2</v>
      </c>
      <c r="H343" s="70" t="s">
        <v>62</v>
      </c>
      <c r="I343" s="107">
        <v>2</v>
      </c>
      <c r="J343" s="70" t="s">
        <v>62</v>
      </c>
      <c r="K343" s="107">
        <v>2</v>
      </c>
      <c r="L343" s="70" t="s">
        <v>62</v>
      </c>
      <c r="M343" s="107">
        <v>2</v>
      </c>
      <c r="N343" s="70" t="s">
        <v>62</v>
      </c>
      <c r="O343" s="107">
        <v>2</v>
      </c>
    </row>
    <row r="344" spans="2:15" x14ac:dyDescent="0.2">
      <c r="B344" s="70"/>
      <c r="C344" s="106"/>
      <c r="D344" s="70"/>
      <c r="E344" s="106"/>
      <c r="F344" s="70" t="s">
        <v>131</v>
      </c>
      <c r="G344" s="72">
        <v>153</v>
      </c>
      <c r="H344" s="70" t="s">
        <v>131</v>
      </c>
      <c r="I344" s="72">
        <v>153</v>
      </c>
      <c r="J344" s="70" t="s">
        <v>131</v>
      </c>
      <c r="K344" s="72">
        <v>153</v>
      </c>
      <c r="L344" s="70" t="s">
        <v>131</v>
      </c>
      <c r="M344" s="72">
        <v>153</v>
      </c>
      <c r="N344" s="70" t="s">
        <v>131</v>
      </c>
      <c r="O344" s="72">
        <v>153</v>
      </c>
    </row>
    <row r="345" spans="2:15" x14ac:dyDescent="0.2">
      <c r="B345" s="70"/>
      <c r="C345" s="106"/>
      <c r="D345" s="70"/>
      <c r="E345" s="106"/>
      <c r="F345" s="70" t="s">
        <v>63</v>
      </c>
      <c r="G345" s="72">
        <v>2</v>
      </c>
      <c r="H345" s="70" t="s">
        <v>63</v>
      </c>
      <c r="I345" s="72">
        <v>2</v>
      </c>
      <c r="J345" s="70" t="s">
        <v>63</v>
      </c>
      <c r="K345" s="72">
        <v>2</v>
      </c>
      <c r="L345" s="70" t="s">
        <v>63</v>
      </c>
      <c r="M345" s="72">
        <v>2</v>
      </c>
      <c r="N345" s="70" t="s">
        <v>63</v>
      </c>
      <c r="O345" s="72">
        <v>2</v>
      </c>
    </row>
    <row r="346" spans="2:15" x14ac:dyDescent="0.2">
      <c r="B346" s="70"/>
      <c r="C346" s="106"/>
      <c r="D346" s="70"/>
      <c r="E346" s="106"/>
      <c r="F346" s="70" t="s">
        <v>64</v>
      </c>
      <c r="G346" s="72">
        <v>12</v>
      </c>
      <c r="H346" s="70" t="s">
        <v>64</v>
      </c>
      <c r="I346" s="72">
        <v>12</v>
      </c>
      <c r="J346" s="70" t="s">
        <v>64</v>
      </c>
      <c r="K346" s="72">
        <v>12</v>
      </c>
      <c r="L346" s="70" t="s">
        <v>64</v>
      </c>
      <c r="M346" s="72">
        <v>12</v>
      </c>
      <c r="N346" s="70" t="s">
        <v>64</v>
      </c>
      <c r="O346" s="72">
        <v>12</v>
      </c>
    </row>
    <row r="347" spans="2:15" x14ac:dyDescent="0.2">
      <c r="B347" s="73"/>
      <c r="C347" s="110"/>
      <c r="D347" s="73"/>
      <c r="E347" s="110"/>
      <c r="F347" s="73" t="s">
        <v>13</v>
      </c>
      <c r="G347" s="184">
        <f>MOD(G323-INT(G323)+0.5,1)</f>
        <v>0.95729612093418837</v>
      </c>
      <c r="H347" s="73" t="s">
        <v>13</v>
      </c>
      <c r="I347" s="184">
        <f>MOD(I323-INT(I323)+0.5,1)</f>
        <v>0.951250234618783</v>
      </c>
      <c r="J347" s="73" t="s">
        <v>13</v>
      </c>
      <c r="K347" s="184">
        <f>MOD(K323-INT(K323)+0.5,1)</f>
        <v>0.429336650762707</v>
      </c>
      <c r="L347" s="73" t="s">
        <v>13</v>
      </c>
      <c r="M347" s="184">
        <f>MOD(M323-INT(M323)+0.5,1)</f>
        <v>0.11998212849721313</v>
      </c>
      <c r="N347" s="73" t="s">
        <v>13</v>
      </c>
      <c r="O347" s="184">
        <f>MOD(O323-INT(O323)+0.5,1)</f>
        <v>0.46816223347559571</v>
      </c>
    </row>
    <row r="348" spans="2:15" x14ac:dyDescent="0.2">
      <c r="F348" s="155" t="s">
        <v>77</v>
      </c>
      <c r="G348" s="156"/>
      <c r="H348" s="155" t="str">
        <f>H322</f>
        <v>First Quarter</v>
      </c>
      <c r="I348" s="156"/>
      <c r="J348" s="155" t="str">
        <f>J322</f>
        <v>Full Moon</v>
      </c>
      <c r="K348" s="156"/>
      <c r="L348" s="155" t="str">
        <f>L322</f>
        <v>Last Quarter</v>
      </c>
      <c r="M348" s="156"/>
      <c r="N348" s="155" t="str">
        <f>N322</f>
        <v>New Moon</v>
      </c>
      <c r="O348" s="156"/>
    </row>
    <row r="349" spans="2:15" x14ac:dyDescent="0.2">
      <c r="B349" s="22" t="s">
        <v>130</v>
      </c>
      <c r="C349" s="185"/>
      <c r="D349" s="22" t="s">
        <v>130</v>
      </c>
      <c r="E349" s="185"/>
      <c r="F349" s="68"/>
      <c r="G349" s="69"/>
      <c r="H349" s="68"/>
      <c r="I349" s="69"/>
      <c r="J349" s="68"/>
      <c r="K349" s="69"/>
      <c r="L349" s="68"/>
      <c r="M349" s="69"/>
      <c r="N349" s="68"/>
      <c r="O349" s="69"/>
    </row>
    <row r="350" spans="2:15" x14ac:dyDescent="0.2">
      <c r="B350" s="21"/>
      <c r="C350" s="186"/>
      <c r="D350" s="21"/>
      <c r="E350" s="186"/>
      <c r="F350" s="70"/>
      <c r="G350" s="107"/>
      <c r="H350" s="70"/>
      <c r="I350" s="107"/>
      <c r="J350" s="70"/>
      <c r="K350" s="107"/>
      <c r="L350" s="70"/>
      <c r="M350" s="107"/>
      <c r="N350" s="70"/>
      <c r="O350" s="107"/>
    </row>
    <row r="351" spans="2:15" x14ac:dyDescent="0.2">
      <c r="B351" s="187" t="s">
        <v>6</v>
      </c>
      <c r="C351" s="188" t="s">
        <v>7</v>
      </c>
      <c r="D351" s="187" t="s">
        <v>6</v>
      </c>
      <c r="E351" s="188" t="s">
        <v>7</v>
      </c>
      <c r="F351" s="70"/>
      <c r="G351" s="107"/>
      <c r="H351" s="70"/>
      <c r="I351" s="107"/>
      <c r="J351" s="70"/>
      <c r="K351" s="107"/>
      <c r="L351" s="70"/>
      <c r="M351" s="107"/>
      <c r="N351" s="70"/>
      <c r="O351" s="107"/>
    </row>
    <row r="352" spans="2:15" x14ac:dyDescent="0.2">
      <c r="B352" s="189">
        <v>1</v>
      </c>
      <c r="C352" s="186">
        <v>0</v>
      </c>
      <c r="D352" s="189">
        <v>1</v>
      </c>
      <c r="E352" s="186">
        <v>0</v>
      </c>
      <c r="F352" s="70" t="s">
        <v>0</v>
      </c>
      <c r="G352" s="190">
        <f>G325</f>
        <v>2024</v>
      </c>
      <c r="H352" s="70" t="s">
        <v>0</v>
      </c>
      <c r="I352" s="190">
        <f>I325</f>
        <v>2024</v>
      </c>
      <c r="J352" s="70" t="s">
        <v>0</v>
      </c>
      <c r="K352" s="190">
        <f>K325</f>
        <v>2024</v>
      </c>
      <c r="L352" s="70" t="s">
        <v>0</v>
      </c>
      <c r="M352" s="190">
        <f>M325</f>
        <v>2024</v>
      </c>
      <c r="N352" s="70" t="s">
        <v>0</v>
      </c>
      <c r="O352" s="190">
        <f>O325</f>
        <v>2024</v>
      </c>
    </row>
    <row r="353" spans="2:15" x14ac:dyDescent="0.2">
      <c r="B353" s="189">
        <f>B352+1</f>
        <v>2</v>
      </c>
      <c r="C353" s="186">
        <v>31</v>
      </c>
      <c r="D353" s="189">
        <f>D352+1</f>
        <v>2</v>
      </c>
      <c r="E353" s="186">
        <v>31</v>
      </c>
      <c r="F353" s="70" t="s">
        <v>81</v>
      </c>
      <c r="G353" s="71" t="str">
        <f>IF(MOD(G352,4)=0,IF(MOD(G352,400)&gt;0,"Y","N"),"N")</f>
        <v>Y</v>
      </c>
      <c r="H353" s="70" t="s">
        <v>81</v>
      </c>
      <c r="I353" s="71" t="str">
        <f>IF(MOD(I352,4)=0,IF(MOD(I352,400)&gt;0,"Y","N"),"N")</f>
        <v>Y</v>
      </c>
      <c r="J353" s="70" t="s">
        <v>81</v>
      </c>
      <c r="K353" s="71" t="str">
        <f>IF(MOD(K352,4)=0,IF(MOD(K352,400)&gt;0,"Y","N"),"N")</f>
        <v>Y</v>
      </c>
      <c r="L353" s="70" t="s">
        <v>81</v>
      </c>
      <c r="M353" s="71" t="str">
        <f>IF(MOD(M352,4)=0,IF(MOD(M352,400)&gt;0,"Y","N"),"N")</f>
        <v>Y</v>
      </c>
      <c r="N353" s="70" t="s">
        <v>81</v>
      </c>
      <c r="O353" s="71" t="str">
        <f>IF(MOD(O352,4)=0,IF(MOD(O352,400)&gt;0,"Y","N"),"N")</f>
        <v>Y</v>
      </c>
    </row>
    <row r="354" spans="2:15" x14ac:dyDescent="0.2">
      <c r="B354" s="189">
        <f>B353+1</f>
        <v>3</v>
      </c>
      <c r="C354" s="186">
        <f>59+IF(G353="Y",1,0)</f>
        <v>60</v>
      </c>
      <c r="D354" s="189">
        <f>D353+1</f>
        <v>3</v>
      </c>
      <c r="E354" s="186">
        <f>59+IF(I353="Y",1,0)</f>
        <v>60</v>
      </c>
      <c r="F354" s="70" t="s">
        <v>1</v>
      </c>
      <c r="G354" s="190">
        <f>G326</f>
        <v>7</v>
      </c>
      <c r="H354" s="70" t="s">
        <v>1</v>
      </c>
      <c r="I354" s="190">
        <f>I326</f>
        <v>7</v>
      </c>
      <c r="J354" s="70" t="s">
        <v>1</v>
      </c>
      <c r="K354" s="190">
        <f>K326</f>
        <v>7</v>
      </c>
      <c r="L354" s="70" t="s">
        <v>1</v>
      </c>
      <c r="M354" s="190">
        <f>M326</f>
        <v>7</v>
      </c>
      <c r="N354" s="70" t="s">
        <v>1</v>
      </c>
      <c r="O354" s="190">
        <f>O326</f>
        <v>8</v>
      </c>
    </row>
    <row r="355" spans="2:15" x14ac:dyDescent="0.2">
      <c r="B355" s="189">
        <f>B354+1</f>
        <v>4</v>
      </c>
      <c r="C355" s="186">
        <f>90+IF(G353="Y",1,0)</f>
        <v>91</v>
      </c>
      <c r="D355" s="189">
        <f>D354+1</f>
        <v>4</v>
      </c>
      <c r="E355" s="186">
        <f>90+IF(I353="Y",1,0)</f>
        <v>91</v>
      </c>
      <c r="F355" s="70" t="s">
        <v>2</v>
      </c>
      <c r="G355" s="190">
        <f>G327</f>
        <v>5</v>
      </c>
      <c r="H355" s="70" t="s">
        <v>2</v>
      </c>
      <c r="I355" s="190">
        <f>I327</f>
        <v>13</v>
      </c>
      <c r="J355" s="70" t="s">
        <v>2</v>
      </c>
      <c r="K355" s="190">
        <f>K327</f>
        <v>21</v>
      </c>
      <c r="L355" s="70" t="s">
        <v>2</v>
      </c>
      <c r="M355" s="190">
        <f>M327</f>
        <v>28</v>
      </c>
      <c r="N355" s="70" t="s">
        <v>2</v>
      </c>
      <c r="O355" s="190">
        <f>O327</f>
        <v>4</v>
      </c>
    </row>
    <row r="356" spans="2:15" x14ac:dyDescent="0.2">
      <c r="B356" s="189">
        <f>B355+1</f>
        <v>5</v>
      </c>
      <c r="C356" s="186">
        <f>120+IF(G353="Y",1,0)</f>
        <v>121</v>
      </c>
      <c r="D356" s="189">
        <f>D355+1</f>
        <v>5</v>
      </c>
      <c r="E356" s="186">
        <f>120+IF(I353="Y",1,0)</f>
        <v>121</v>
      </c>
      <c r="F356" s="179" t="s">
        <v>79</v>
      </c>
      <c r="G356" s="191">
        <f>LOOKUP(G354,$B$352:$B$363,$C$352:$C$363)+G355</f>
        <v>187</v>
      </c>
      <c r="H356" s="179" t="s">
        <v>79</v>
      </c>
      <c r="I356" s="191">
        <f>LOOKUP(I354,$B$352:$B$363,$C$352:$C$363)+I355</f>
        <v>195</v>
      </c>
      <c r="J356" s="179" t="s">
        <v>79</v>
      </c>
      <c r="K356" s="191">
        <f>LOOKUP(K354,$B$352:$B$363,$C$352:$C$363)+K355</f>
        <v>203</v>
      </c>
      <c r="L356" s="179" t="s">
        <v>79</v>
      </c>
      <c r="M356" s="191">
        <f>LOOKUP(M354,$B$352:$B$363,$C$352:$C$363)+M355</f>
        <v>210</v>
      </c>
      <c r="N356" s="179" t="s">
        <v>79</v>
      </c>
      <c r="O356" s="191">
        <f>LOOKUP(O354,$B$352:$B$363,$C$352:$C$363)+O355</f>
        <v>217</v>
      </c>
    </row>
    <row r="357" spans="2:15" x14ac:dyDescent="0.2">
      <c r="B357" s="189">
        <f>B356+1</f>
        <v>6</v>
      </c>
      <c r="C357" s="186">
        <f>151+IF(G353="Y",1,0)</f>
        <v>152</v>
      </c>
      <c r="D357" s="189">
        <f>D356+1</f>
        <v>6</v>
      </c>
      <c r="E357" s="186">
        <f>151+IF(I353="Y",1,0)</f>
        <v>152</v>
      </c>
      <c r="F357" s="70" t="s">
        <v>51</v>
      </c>
      <c r="G357" s="192">
        <f>$C363+31</f>
        <v>366</v>
      </c>
      <c r="H357" s="70" t="s">
        <v>51</v>
      </c>
      <c r="I357" s="192">
        <f>$C363+31</f>
        <v>366</v>
      </c>
      <c r="J357" s="70" t="s">
        <v>51</v>
      </c>
      <c r="K357" s="192">
        <f>$C363+31</f>
        <v>366</v>
      </c>
      <c r="L357" s="70" t="s">
        <v>51</v>
      </c>
      <c r="M357" s="192">
        <f>$C363+31</f>
        <v>366</v>
      </c>
      <c r="N357" s="70" t="s">
        <v>51</v>
      </c>
      <c r="O357" s="192">
        <f>$C363+31</f>
        <v>366</v>
      </c>
    </row>
    <row r="358" spans="2:15" x14ac:dyDescent="0.2">
      <c r="B358" s="189">
        <f>B357+1</f>
        <v>7</v>
      </c>
      <c r="C358" s="186">
        <f>181+IF(G353="Y",1,0)</f>
        <v>182</v>
      </c>
      <c r="D358" s="189">
        <f>D357+1</f>
        <v>7</v>
      </c>
      <c r="E358" s="186">
        <f>181+IF(I353="Y",1,0)</f>
        <v>182</v>
      </c>
      <c r="F358" s="70"/>
      <c r="G358" s="107"/>
      <c r="H358" s="70"/>
      <c r="I358" s="107"/>
      <c r="J358" s="70"/>
      <c r="K358" s="107"/>
      <c r="L358" s="70"/>
      <c r="M358" s="107"/>
      <c r="N358" s="70"/>
      <c r="O358" s="107"/>
    </row>
    <row r="359" spans="2:15" x14ac:dyDescent="0.2">
      <c r="B359" s="189">
        <f>B358+1</f>
        <v>8</v>
      </c>
      <c r="C359" s="186">
        <f>212+IF(G353="Y",1,0)</f>
        <v>213</v>
      </c>
      <c r="D359" s="189">
        <f>D358+1</f>
        <v>8</v>
      </c>
      <c r="E359" s="186">
        <f>212+IF(I353="Y",1,0)</f>
        <v>213</v>
      </c>
      <c r="F359" s="70"/>
      <c r="G359" s="107"/>
      <c r="H359" s="70"/>
      <c r="I359" s="107"/>
      <c r="J359" s="70"/>
      <c r="K359" s="107"/>
      <c r="L359" s="70"/>
      <c r="M359" s="107"/>
      <c r="N359" s="70"/>
      <c r="O359" s="107"/>
    </row>
    <row r="360" spans="2:15" x14ac:dyDescent="0.2">
      <c r="B360" s="189">
        <f>B359+1</f>
        <v>9</v>
      </c>
      <c r="C360" s="186">
        <f>243+IF(G353="Y",1,0)</f>
        <v>244</v>
      </c>
      <c r="D360" s="189">
        <f>D359+1</f>
        <v>9</v>
      </c>
      <c r="E360" s="186">
        <f>243+IF(I353="Y",1,0)</f>
        <v>244</v>
      </c>
      <c r="F360" s="70"/>
      <c r="G360" s="107"/>
      <c r="H360" s="70"/>
      <c r="I360" s="107"/>
      <c r="J360" s="70"/>
      <c r="K360" s="107"/>
      <c r="L360" s="70"/>
      <c r="M360" s="107"/>
      <c r="N360" s="70"/>
      <c r="O360" s="107"/>
    </row>
    <row r="361" spans="2:15" x14ac:dyDescent="0.2">
      <c r="B361" s="189">
        <f>B360+1</f>
        <v>10</v>
      </c>
      <c r="C361" s="186">
        <f>273+IF(G353="Y",1,0)</f>
        <v>274</v>
      </c>
      <c r="D361" s="189">
        <f>D360+1</f>
        <v>10</v>
      </c>
      <c r="E361" s="186">
        <f>273+IF(I353="Y",1,0)</f>
        <v>274</v>
      </c>
      <c r="F361" s="70"/>
      <c r="G361" s="107"/>
      <c r="H361" s="70"/>
      <c r="I361" s="107"/>
      <c r="J361" s="70"/>
      <c r="K361" s="107"/>
      <c r="L361" s="70"/>
      <c r="M361" s="107"/>
      <c r="N361" s="70"/>
      <c r="O361" s="107"/>
    </row>
    <row r="362" spans="2:15" x14ac:dyDescent="0.2">
      <c r="B362" s="189">
        <f>B361+1</f>
        <v>11</v>
      </c>
      <c r="C362" s="186">
        <f>304+IF(G353="Y",1,0)</f>
        <v>305</v>
      </c>
      <c r="D362" s="189">
        <f>D361+1</f>
        <v>11</v>
      </c>
      <c r="E362" s="186">
        <f>304+IF(I353="Y",1,0)</f>
        <v>305</v>
      </c>
      <c r="F362" s="70"/>
      <c r="G362" s="107"/>
      <c r="H362" s="70"/>
      <c r="I362" s="107"/>
      <c r="J362" s="70"/>
      <c r="K362" s="107"/>
      <c r="L362" s="70"/>
      <c r="M362" s="107"/>
      <c r="N362" s="70"/>
      <c r="O362" s="107"/>
    </row>
    <row r="363" spans="2:15" x14ac:dyDescent="0.2">
      <c r="B363" s="193">
        <f>B362+1</f>
        <v>12</v>
      </c>
      <c r="C363" s="194">
        <f>334+IF(G353="Y",1,0)</f>
        <v>335</v>
      </c>
      <c r="D363" s="193">
        <f>D362+1</f>
        <v>12</v>
      </c>
      <c r="E363" s="194">
        <f>334+IF(I353="Y",1,0)</f>
        <v>335</v>
      </c>
      <c r="F363" s="73"/>
      <c r="G363" s="111"/>
      <c r="H363" s="73"/>
      <c r="I363" s="111"/>
      <c r="J363" s="73"/>
      <c r="K363" s="111"/>
      <c r="L363" s="73"/>
      <c r="M363" s="111"/>
      <c r="N363" s="73"/>
      <c r="O363" s="111"/>
    </row>
    <row r="366" spans="2:15" x14ac:dyDescent="0.2">
      <c r="B366" s="68"/>
      <c r="C366" s="92" t="s">
        <v>6</v>
      </c>
      <c r="D366" s="100" t="s">
        <v>99</v>
      </c>
      <c r="E366" s="115" t="s">
        <v>98</v>
      </c>
      <c r="F366" s="195" t="s">
        <v>97</v>
      </c>
      <c r="G366" s="196" t="s">
        <v>96</v>
      </c>
      <c r="I366" s="114" t="s">
        <v>95</v>
      </c>
      <c r="J366" s="92"/>
      <c r="K366" s="69"/>
      <c r="M366" s="197">
        <v>0</v>
      </c>
      <c r="N366" s="160">
        <v>0</v>
      </c>
      <c r="O366" s="198" t="s">
        <v>30</v>
      </c>
    </row>
    <row r="367" spans="2:15" x14ac:dyDescent="0.2">
      <c r="B367" s="70">
        <v>1</v>
      </c>
      <c r="C367" s="106" t="s">
        <v>14</v>
      </c>
      <c r="D367" s="199">
        <v>1</v>
      </c>
      <c r="E367" s="111">
        <f>VLOOKUP(Month,Calculations!$C$367:$D$378,2,FALSE)</f>
        <v>7</v>
      </c>
      <c r="F367" s="200" t="s">
        <v>10</v>
      </c>
      <c r="G367" s="201">
        <v>1</v>
      </c>
      <c r="I367" s="70">
        <f>IF(MonthSelected+1&gt;12,1,MonthSelected+1)</f>
        <v>8</v>
      </c>
      <c r="J367" s="106" t="str">
        <f>VLOOKUP(MonthSelected2,$B$367:$C$378,2,FALSE)</f>
        <v>August</v>
      </c>
      <c r="K367" s="107">
        <f>IF(MonthSelected2=1,Year+1,Year)</f>
        <v>2024</v>
      </c>
      <c r="L367" s="202"/>
      <c r="M367" s="203">
        <f>M366+45</f>
        <v>45</v>
      </c>
      <c r="N367" s="204">
        <f>M367-22.5</f>
        <v>22.5</v>
      </c>
      <c r="O367" s="205" t="s">
        <v>26</v>
      </c>
    </row>
    <row r="368" spans="2:15" x14ac:dyDescent="0.2">
      <c r="B368" s="70">
        <v>2</v>
      </c>
      <c r="C368" s="106" t="s">
        <v>15</v>
      </c>
      <c r="D368" s="199">
        <v>2</v>
      </c>
      <c r="F368" s="200" t="s">
        <v>90</v>
      </c>
      <c r="G368" s="201">
        <v>2</v>
      </c>
      <c r="I368" s="70">
        <f>IF(I367+1&gt;12,1,I367+1)</f>
        <v>9</v>
      </c>
      <c r="J368" s="106" t="str">
        <f>VLOOKUP(MonthSelected3,$B$367:$C$378,2,FALSE)</f>
        <v>September</v>
      </c>
      <c r="K368" s="107">
        <f>IF(AND(MonthSelected2=12,K367=Year),Year+1,IF(K367=Year+1,Year+1,Year))</f>
        <v>2024</v>
      </c>
      <c r="M368" s="203">
        <f>M367+45</f>
        <v>90</v>
      </c>
      <c r="N368" s="204">
        <f>M368-22.5</f>
        <v>67.5</v>
      </c>
      <c r="O368" s="205" t="s">
        <v>25</v>
      </c>
    </row>
    <row r="369" spans="2:15" x14ac:dyDescent="0.2">
      <c r="B369" s="70">
        <v>3</v>
      </c>
      <c r="C369" s="106" t="s">
        <v>16</v>
      </c>
      <c r="D369" s="199">
        <v>3</v>
      </c>
      <c r="F369" s="200" t="s">
        <v>89</v>
      </c>
      <c r="G369" s="201">
        <v>3</v>
      </c>
      <c r="I369" s="70">
        <f>IF(I368+1&gt;12,1,I368+1)</f>
        <v>10</v>
      </c>
      <c r="J369" s="106" t="str">
        <f>VLOOKUP(MonthSelected4,$B$367:$C$378,2,FALSE)</f>
        <v>October</v>
      </c>
      <c r="K369" s="107">
        <f>IF(AND(MonthSelected3=12,K368=Year),Year+1,IF(K368=Year+1,Year+1,Year))</f>
        <v>2024</v>
      </c>
      <c r="M369" s="203">
        <f>M368+45</f>
        <v>135</v>
      </c>
      <c r="N369" s="204">
        <f>M369-22.5</f>
        <v>112.5</v>
      </c>
      <c r="O369" s="205" t="s">
        <v>27</v>
      </c>
    </row>
    <row r="370" spans="2:15" x14ac:dyDescent="0.2">
      <c r="B370" s="70">
        <v>4</v>
      </c>
      <c r="C370" s="106" t="s">
        <v>17</v>
      </c>
      <c r="D370" s="199">
        <v>4</v>
      </c>
      <c r="F370" s="200" t="s">
        <v>88</v>
      </c>
      <c r="G370" s="201">
        <v>4</v>
      </c>
      <c r="I370" s="70">
        <f>IF(I369+1&gt;12,1,I369+1)</f>
        <v>11</v>
      </c>
      <c r="J370" s="106" t="str">
        <f>VLOOKUP(MonthSelected5,$B$367:$C$378,2,FALSE)</f>
        <v>November</v>
      </c>
      <c r="K370" s="107">
        <f>IF(AND(MonthSelected4=12,K369=Year),Year+1,IF(K369=Year+1,Year+1,Year))</f>
        <v>2024</v>
      </c>
      <c r="M370" s="203">
        <f>M369+45</f>
        <v>180</v>
      </c>
      <c r="N370" s="204">
        <f>M370-22.5</f>
        <v>157.5</v>
      </c>
      <c r="O370" s="205" t="s">
        <v>29</v>
      </c>
    </row>
    <row r="371" spans="2:15" x14ac:dyDescent="0.2">
      <c r="B371" s="70">
        <v>5</v>
      </c>
      <c r="C371" s="106" t="s">
        <v>8</v>
      </c>
      <c r="D371" s="199">
        <v>5</v>
      </c>
      <c r="F371" s="200" t="s">
        <v>87</v>
      </c>
      <c r="G371" s="201">
        <v>5</v>
      </c>
      <c r="I371" s="70">
        <f>IF(I370+1&gt;12,1,I370+1)</f>
        <v>12</v>
      </c>
      <c r="J371" s="106" t="str">
        <f>VLOOKUP(MonthSelected6,$B$367:$C$378,2,FALSE)</f>
        <v>December</v>
      </c>
      <c r="K371" s="107">
        <f>IF(AND(MonthSelected5=12,K370=Year),Year+1,IF(K370=Year+1,Year+1,Year))</f>
        <v>2024</v>
      </c>
      <c r="M371" s="203">
        <f>M370+45</f>
        <v>225</v>
      </c>
      <c r="N371" s="204">
        <f>M371-22.5</f>
        <v>202.5</v>
      </c>
      <c r="O371" s="205" t="s">
        <v>41</v>
      </c>
    </row>
    <row r="372" spans="2:15" x14ac:dyDescent="0.2">
      <c r="B372" s="70">
        <v>6</v>
      </c>
      <c r="C372" s="106" t="s">
        <v>18</v>
      </c>
      <c r="D372" s="199">
        <v>6</v>
      </c>
      <c r="F372" s="200" t="s">
        <v>86</v>
      </c>
      <c r="G372" s="201">
        <v>6</v>
      </c>
      <c r="I372" s="70">
        <f>IF(I371+1&gt;12,1,I371+1)</f>
        <v>1</v>
      </c>
      <c r="J372" s="106" t="str">
        <f>VLOOKUP(MonthSelected7,$B$367:$C$378,2,FALSE)</f>
        <v>January</v>
      </c>
      <c r="K372" s="107">
        <f>IF(AND(MonthSelected6=12,K371=Year),Year+1,IF(K371=Year+1,Year+1,Year))</f>
        <v>2025</v>
      </c>
      <c r="M372" s="203">
        <f>M371+45</f>
        <v>270</v>
      </c>
      <c r="N372" s="204">
        <f>M372-22.5</f>
        <v>247.5</v>
      </c>
      <c r="O372" s="205" t="s">
        <v>28</v>
      </c>
    </row>
    <row r="373" spans="2:15" x14ac:dyDescent="0.2">
      <c r="B373" s="70">
        <v>7</v>
      </c>
      <c r="C373" s="106" t="s">
        <v>19</v>
      </c>
      <c r="D373" s="199">
        <v>7</v>
      </c>
      <c r="F373" s="206" t="s">
        <v>85</v>
      </c>
      <c r="G373" s="207">
        <v>7</v>
      </c>
      <c r="I373" s="70">
        <f>IF(I372+1&gt;12,1,I372+1)</f>
        <v>2</v>
      </c>
      <c r="J373" s="106" t="str">
        <f>VLOOKUP(MonthSelected8,$B$367:$C$378,2,FALSE)</f>
        <v>February</v>
      </c>
      <c r="K373" s="107">
        <f>IF(AND(MonthSelected7=12,K372=Year),Year+1,IF(K372=Year+1,Year+1,Year))</f>
        <v>2025</v>
      </c>
      <c r="M373" s="203">
        <f>M372+45</f>
        <v>315</v>
      </c>
      <c r="N373" s="204">
        <f>M373-22.5</f>
        <v>292.5</v>
      </c>
      <c r="O373" s="205" t="s">
        <v>42</v>
      </c>
    </row>
    <row r="374" spans="2:15" x14ac:dyDescent="0.2">
      <c r="B374" s="70">
        <v>8</v>
      </c>
      <c r="C374" s="106" t="s">
        <v>12</v>
      </c>
      <c r="D374" s="199">
        <v>8</v>
      </c>
      <c r="I374" s="70">
        <f>IF(I373+1&gt;12,1,I373+1)</f>
        <v>3</v>
      </c>
      <c r="J374" s="106" t="str">
        <f>VLOOKUP(MonthSelected9,$B$367:$C$378,2,FALSE)</f>
        <v>March</v>
      </c>
      <c r="K374" s="107">
        <f>IF(AND(MonthSelected8=12,K373=Year),Year+1,IF(K373=Year+1,Year+1,Year))</f>
        <v>2025</v>
      </c>
      <c r="M374" s="208">
        <f>M373+45</f>
        <v>360</v>
      </c>
      <c r="N374" s="209">
        <f>M374-22.5</f>
        <v>337.5</v>
      </c>
      <c r="O374" s="210" t="s">
        <v>30</v>
      </c>
    </row>
    <row r="375" spans="2:15" x14ac:dyDescent="0.2">
      <c r="B375" s="70">
        <v>9</v>
      </c>
      <c r="C375" s="106" t="s">
        <v>20</v>
      </c>
      <c r="D375" s="199">
        <v>9</v>
      </c>
      <c r="I375" s="70">
        <f>IF(I374+1&gt;12,1,I374+1)</f>
        <v>4</v>
      </c>
      <c r="J375" s="106" t="str">
        <f>VLOOKUP(Monthselected10,$B$367:$C$378,2,FALSE)</f>
        <v>April</v>
      </c>
      <c r="K375" s="107">
        <f>IF(AND(MonthSelected9=12,K374=Year),Year+1,IF(K374=Year+1,Year+1,Year))</f>
        <v>2025</v>
      </c>
    </row>
    <row r="376" spans="2:15" x14ac:dyDescent="0.2">
      <c r="B376" s="70">
        <v>10</v>
      </c>
      <c r="C376" s="106" t="s">
        <v>21</v>
      </c>
      <c r="D376" s="199">
        <v>10</v>
      </c>
      <c r="I376" s="70">
        <f>IF(I375+1&gt;12,1,I375+1)</f>
        <v>5</v>
      </c>
      <c r="J376" s="106" t="str">
        <f>VLOOKUP(MonthSelected11,$B$367:$C$378,2,FALSE)</f>
        <v>May</v>
      </c>
      <c r="K376" s="107">
        <f>IF(AND(Monthselected10=12,K375=Year),Year+1,IF(K375=Year+1,Year+1,Year))</f>
        <v>2025</v>
      </c>
    </row>
    <row r="377" spans="2:15" x14ac:dyDescent="0.2">
      <c r="B377" s="70">
        <v>11</v>
      </c>
      <c r="C377" s="106" t="s">
        <v>22</v>
      </c>
      <c r="D377" s="199">
        <v>11</v>
      </c>
      <c r="I377" s="73">
        <f>IF(I376+1&gt;12,1,I376+1)</f>
        <v>6</v>
      </c>
      <c r="J377" s="110" t="str">
        <f>VLOOKUP(MonthSelected12,$B$367:$C$378,2,FALSE)</f>
        <v>June</v>
      </c>
      <c r="K377" s="111">
        <f>IF(AND(MonthSelected11=12,K376=Year),Year+1,IF(K376=Year+1,Year+1,Year))</f>
        <v>2025</v>
      </c>
    </row>
    <row r="378" spans="2:15" x14ac:dyDescent="0.2">
      <c r="B378" s="73">
        <v>12</v>
      </c>
      <c r="C378" s="110" t="s">
        <v>23</v>
      </c>
      <c r="D378" s="199">
        <v>12</v>
      </c>
    </row>
    <row r="379" spans="2:15" x14ac:dyDescent="0.2">
      <c r="D379" s="199">
        <v>13</v>
      </c>
    </row>
    <row r="380" spans="2:15" x14ac:dyDescent="0.2">
      <c r="D380" s="199">
        <v>14</v>
      </c>
    </row>
    <row r="381" spans="2:15" x14ac:dyDescent="0.2">
      <c r="D381" s="199">
        <v>15</v>
      </c>
    </row>
    <row r="382" spans="2:15" x14ac:dyDescent="0.2">
      <c r="D382" s="199">
        <v>16</v>
      </c>
    </row>
    <row r="383" spans="2:15" x14ac:dyDescent="0.2">
      <c r="D383" s="199">
        <v>17</v>
      </c>
    </row>
    <row r="384" spans="2:15" x14ac:dyDescent="0.2">
      <c r="D384" s="199">
        <v>18</v>
      </c>
    </row>
    <row r="385" spans="4:4" x14ac:dyDescent="0.2">
      <c r="D385" s="199">
        <v>19</v>
      </c>
    </row>
    <row r="386" spans="4:4" x14ac:dyDescent="0.2">
      <c r="D386" s="199">
        <v>20</v>
      </c>
    </row>
    <row r="387" spans="4:4" x14ac:dyDescent="0.2">
      <c r="D387" s="199">
        <v>21</v>
      </c>
    </row>
    <row r="388" spans="4:4" x14ac:dyDescent="0.2">
      <c r="D388" s="199">
        <v>22</v>
      </c>
    </row>
    <row r="389" spans="4:4" x14ac:dyDescent="0.2">
      <c r="D389" s="199">
        <v>23</v>
      </c>
    </row>
    <row r="390" spans="4:4" x14ac:dyDescent="0.2">
      <c r="D390" s="199">
        <v>24</v>
      </c>
    </row>
    <row r="391" spans="4:4" x14ac:dyDescent="0.2">
      <c r="D391" s="199">
        <v>25</v>
      </c>
    </row>
    <row r="392" spans="4:4" x14ac:dyDescent="0.2">
      <c r="D392" s="199">
        <v>26</v>
      </c>
    </row>
    <row r="393" spans="4:4" x14ac:dyDescent="0.2">
      <c r="D393" s="199">
        <v>27</v>
      </c>
    </row>
    <row r="394" spans="4:4" x14ac:dyDescent="0.2">
      <c r="D394" s="199">
        <v>28</v>
      </c>
    </row>
    <row r="395" spans="4:4" x14ac:dyDescent="0.2">
      <c r="D395" s="199">
        <v>29</v>
      </c>
    </row>
    <row r="396" spans="4:4" x14ac:dyDescent="0.2">
      <c r="D396" s="199">
        <v>30</v>
      </c>
    </row>
    <row r="397" spans="4:4" x14ac:dyDescent="0.2">
      <c r="D397" s="211">
        <v>31</v>
      </c>
    </row>
  </sheetData>
  <sheetProtection sheet="1" objects="1" scenarios="1"/>
  <mergeCells count="27">
    <mergeCell ref="B322:C322"/>
    <mergeCell ref="D322:E322"/>
    <mergeCell ref="N322:O322"/>
    <mergeCell ref="N348:O348"/>
    <mergeCell ref="F322:G322"/>
    <mergeCell ref="H322:I322"/>
    <mergeCell ref="J322:K322"/>
    <mergeCell ref="L322:M322"/>
    <mergeCell ref="F348:G348"/>
    <mergeCell ref="H348:I348"/>
    <mergeCell ref="J348:K348"/>
    <mergeCell ref="L348:M348"/>
    <mergeCell ref="B70:C70"/>
    <mergeCell ref="L70:M70"/>
    <mergeCell ref="V70:W70"/>
    <mergeCell ref="AF70:AG70"/>
    <mergeCell ref="B42:C42"/>
    <mergeCell ref="D42:E42"/>
    <mergeCell ref="L42:M42"/>
    <mergeCell ref="N42:O42"/>
    <mergeCell ref="V42:W42"/>
    <mergeCell ref="AP42:AQ42"/>
    <mergeCell ref="AR42:AS42"/>
    <mergeCell ref="AP70:AQ70"/>
    <mergeCell ref="X42:Y42"/>
    <mergeCell ref="AF42:AG42"/>
    <mergeCell ref="AH42:AI4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6A47527-4932-CE43-BCD2-A33840F319FB}">
            <xm:f>'Moon Phases'!$K$23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O366:O374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C782-4A23-994C-9AA7-87480B807051}">
  <dimension ref="A1"/>
  <sheetViews>
    <sheetView showGridLines="0" workbookViewId="0">
      <selection activeCell="M30" sqref="M30"/>
    </sheetView>
  </sheetViews>
  <sheetFormatPr baseColWidth="10" defaultRowHeight="16" x14ac:dyDescent="0.2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Introduction</vt:lpstr>
      <vt:lpstr>Moon Phases</vt:lpstr>
      <vt:lpstr>Calculations</vt:lpstr>
      <vt:lpstr>Background</vt:lpstr>
      <vt:lpstr>Days</vt:lpstr>
      <vt:lpstr>KeyDates</vt:lpstr>
      <vt:lpstr>Month</vt:lpstr>
      <vt:lpstr>Months</vt:lpstr>
      <vt:lpstr>MonthSelected</vt:lpstr>
      <vt:lpstr>Monthselected10</vt:lpstr>
      <vt:lpstr>MonthSelected11</vt:lpstr>
      <vt:lpstr>MonthSelected12</vt:lpstr>
      <vt:lpstr>MonthSelected2</vt:lpstr>
      <vt:lpstr>MonthSelected3</vt:lpstr>
      <vt:lpstr>MonthSelected4</vt:lpstr>
      <vt:lpstr>MonthSelected5</vt:lpstr>
      <vt:lpstr>MonthSelected6</vt:lpstr>
      <vt:lpstr>MonthSelected7</vt:lpstr>
      <vt:lpstr>MonthSelected8</vt:lpstr>
      <vt:lpstr>MonthSelected9</vt:lpstr>
      <vt:lpstr>'Moon Phases'!Print_Area</vt:lpstr>
      <vt:lpstr>Year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Moon Phases</dc:title>
  <dc:subject/>
  <dc:creator>Anton Viola</dc:creator>
  <cp:keywords/>
  <dc:description/>
  <cp:lastModifiedBy>Anton Viola</cp:lastModifiedBy>
  <dcterms:created xsi:type="dcterms:W3CDTF">2016-06-12T12:50:56Z</dcterms:created>
  <dcterms:modified xsi:type="dcterms:W3CDTF">2024-05-31T13:35:11Z</dcterms:modified>
  <cp:category/>
</cp:coreProperties>
</file>