
<file path=[Content_Types].xml><?xml version="1.0" encoding="utf-8"?>
<Types xmlns="http://schemas.openxmlformats.org/package/2006/content-types">
  <Default Extension="gif" ContentType="image/gif"/>
  <Default Extension="jpeg" ContentType="image/jpeg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414"/>
  <workbookPr codeName="ThisWorkbook"/>
  <mc:AlternateContent xmlns:mc="http://schemas.openxmlformats.org/markup-compatibility/2006">
    <mc:Choice Requires="x15">
      <x15ac:absPath xmlns:x15ac="http://schemas.microsoft.com/office/spreadsheetml/2010/11/ac" url="/Users/hanssassenburg/Library/CloudStorage/Dropbox/X_Private/20_Astronomy/Morsels/"/>
    </mc:Choice>
  </mc:AlternateContent>
  <xr:revisionPtr revIDLastSave="0" documentId="13_ncr:1_{5F96431B-62CA-044E-A3DA-FF8E86FFD757}" xr6:coauthVersionLast="47" xr6:coauthVersionMax="47" xr10:uidLastSave="{00000000-0000-0000-0000-000000000000}"/>
  <bookViews>
    <workbookView xWindow="6080" yWindow="500" windowWidth="32240" windowHeight="20940" xr2:uid="{5604B167-511D-8C41-BB01-DEB117AC2E44}"/>
  </bookViews>
  <sheets>
    <sheet name="Introduction" sheetId="41" r:id="rId1"/>
    <sheet name="Moon Phases" sheetId="42" r:id="rId2"/>
    <sheet name="Calculations" sheetId="44" r:id="rId3"/>
    <sheet name="Conversion" sheetId="45" r:id="rId4"/>
    <sheet name="Background" sheetId="46" r:id="rId5"/>
  </sheets>
  <externalReferences>
    <externalReference r:id="rId6"/>
  </externalReferences>
  <definedNames>
    <definedName name="A_B1" localSheetId="2">#REF!</definedName>
    <definedName name="A_B1" localSheetId="3">#REF!</definedName>
    <definedName name="A_B1" localSheetId="0">#REF!</definedName>
    <definedName name="A_B1" localSheetId="1">#REF!</definedName>
    <definedName name="A_B1">#REF!</definedName>
    <definedName name="A_B2" localSheetId="2">#REF!</definedName>
    <definedName name="A_B2" localSheetId="3">#REF!</definedName>
    <definedName name="A_B2" localSheetId="0">#REF!</definedName>
    <definedName name="A_B2" localSheetId="1">#REF!</definedName>
    <definedName name="A_B2">#REF!</definedName>
    <definedName name="A_B3" localSheetId="2">#REF!</definedName>
    <definedName name="A_B3" localSheetId="3">#REF!</definedName>
    <definedName name="A_B3" localSheetId="0">#REF!</definedName>
    <definedName name="A_B3" localSheetId="1">#REF!</definedName>
    <definedName name="A_B3">#REF!</definedName>
    <definedName name="A_C1" localSheetId="2">#REF!</definedName>
    <definedName name="A_C1" localSheetId="3">#REF!</definedName>
    <definedName name="A_C1" localSheetId="0">#REF!</definedName>
    <definedName name="A_C1" localSheetId="1">#REF!</definedName>
    <definedName name="A_C1">#REF!</definedName>
    <definedName name="A_C2" localSheetId="2">#REF!</definedName>
    <definedName name="A_C2" localSheetId="3">#REF!</definedName>
    <definedName name="A_C2" localSheetId="0">#REF!</definedName>
    <definedName name="A_C2" localSheetId="1">#REF!</definedName>
    <definedName name="A_C2">#REF!</definedName>
    <definedName name="A_CF" localSheetId="2">#REF!</definedName>
    <definedName name="A_CF" localSheetId="3">#REF!</definedName>
    <definedName name="A_CF" localSheetId="0">#REF!</definedName>
    <definedName name="A_CF" localSheetId="1">#REF!</definedName>
    <definedName name="A_CF">#REF!</definedName>
    <definedName name="A_D1" localSheetId="2">#REF!</definedName>
    <definedName name="A_D1" localSheetId="3">#REF!</definedName>
    <definedName name="A_D1" localSheetId="0">#REF!</definedName>
    <definedName name="A_D1" localSheetId="1">#REF!</definedName>
    <definedName name="A_D1">#REF!</definedName>
    <definedName name="A_D2" localSheetId="2">#REF!</definedName>
    <definedName name="A_D2" localSheetId="3">#REF!</definedName>
    <definedName name="A_D2" localSheetId="0">#REF!</definedName>
    <definedName name="A_D2" localSheetId="1">#REF!</definedName>
    <definedName name="A_D2">#REF!</definedName>
    <definedName name="A_E1" localSheetId="2">#REF!</definedName>
    <definedName name="A_E1" localSheetId="3">#REF!</definedName>
    <definedName name="A_E1" localSheetId="0">#REF!</definedName>
    <definedName name="A_E1" localSheetId="1">#REF!</definedName>
    <definedName name="A_E1">#REF!</definedName>
    <definedName name="A_E2" localSheetId="2">#REF!</definedName>
    <definedName name="A_E2" localSheetId="3">#REF!</definedName>
    <definedName name="A_E2" localSheetId="0">#REF!</definedName>
    <definedName name="A_E2" localSheetId="1">#REF!</definedName>
    <definedName name="A_E2">#REF!</definedName>
    <definedName name="A_E3" localSheetId="2">#REF!</definedName>
    <definedName name="A_E3" localSheetId="3">#REF!</definedName>
    <definedName name="A_E3" localSheetId="0">#REF!</definedName>
    <definedName name="A_E3" localSheetId="1">#REF!</definedName>
    <definedName name="A_E3">#REF!</definedName>
    <definedName name="A_E4" localSheetId="2">#REF!</definedName>
    <definedName name="A_E4" localSheetId="3">#REF!</definedName>
    <definedName name="A_E4" localSheetId="0">#REF!</definedName>
    <definedName name="A_E4" localSheetId="1">#REF!</definedName>
    <definedName name="A_E4">#REF!</definedName>
    <definedName name="A_E5" localSheetId="2">#REF!</definedName>
    <definedName name="A_E5" localSheetId="3">#REF!</definedName>
    <definedName name="A_E5" localSheetId="0">#REF!</definedName>
    <definedName name="A_E5" localSheetId="1">#REF!</definedName>
    <definedName name="A_E5">#REF!</definedName>
    <definedName name="A_E6" localSheetId="2">#REF!</definedName>
    <definedName name="A_E6" localSheetId="3">#REF!</definedName>
    <definedName name="A_E6" localSheetId="0">#REF!</definedName>
    <definedName name="A_E6" localSheetId="1">#REF!</definedName>
    <definedName name="A_E6">#REF!</definedName>
    <definedName name="A_F1" localSheetId="2">#REF!</definedName>
    <definedName name="A_F1" localSheetId="3">#REF!</definedName>
    <definedName name="A_F1" localSheetId="0">#REF!</definedName>
    <definedName name="A_F1" localSheetId="1">#REF!</definedName>
    <definedName name="A_F1">#REF!</definedName>
    <definedName name="A_F2" localSheetId="2">#REF!</definedName>
    <definedName name="A_F2" localSheetId="3">#REF!</definedName>
    <definedName name="A_F2" localSheetId="0">#REF!</definedName>
    <definedName name="A_F2" localSheetId="1">#REF!</definedName>
    <definedName name="A_F2">#REF!</definedName>
    <definedName name="A_G1" localSheetId="2">#REF!</definedName>
    <definedName name="A_G1" localSheetId="3">#REF!</definedName>
    <definedName name="A_G1" localSheetId="0">#REF!</definedName>
    <definedName name="A_G1" localSheetId="1">#REF!</definedName>
    <definedName name="A_G1">#REF!</definedName>
    <definedName name="A_G2" localSheetId="2">#REF!</definedName>
    <definedName name="A_G2" localSheetId="3">#REF!</definedName>
    <definedName name="A_G2" localSheetId="0">#REF!</definedName>
    <definedName name="A_G2" localSheetId="1">#REF!</definedName>
    <definedName name="A_G2">#REF!</definedName>
    <definedName name="A_H1" localSheetId="2">#REF!</definedName>
    <definedName name="A_H1" localSheetId="3">#REF!</definedName>
    <definedName name="A_H1" localSheetId="0">#REF!</definedName>
    <definedName name="A_H1" localSheetId="1">#REF!</definedName>
    <definedName name="A_H1">#REF!</definedName>
    <definedName name="A_H2" localSheetId="2">#REF!</definedName>
    <definedName name="A_H2" localSheetId="3">#REF!</definedName>
    <definedName name="A_H2" localSheetId="0">#REF!</definedName>
    <definedName name="A_H2" localSheetId="1">#REF!</definedName>
    <definedName name="A_H2">#REF!</definedName>
    <definedName name="A_I1" localSheetId="2">#REF!</definedName>
    <definedName name="A_I1" localSheetId="3">#REF!</definedName>
    <definedName name="A_I1" localSheetId="0">#REF!</definedName>
    <definedName name="A_I1" localSheetId="1">#REF!</definedName>
    <definedName name="A_I1">#REF!</definedName>
    <definedName name="A_jup1" localSheetId="2">#REF!</definedName>
    <definedName name="A_jup1" localSheetId="3">#REF!</definedName>
    <definedName name="A_jup1" localSheetId="0">#REF!</definedName>
    <definedName name="A_jup1" localSheetId="1">#REF!</definedName>
    <definedName name="A_jup1">#REF!</definedName>
    <definedName name="A_jup2" localSheetId="2">#REF!</definedName>
    <definedName name="A_jup2" localSheetId="3">#REF!</definedName>
    <definedName name="A_jup2" localSheetId="0">#REF!</definedName>
    <definedName name="A_jup2" localSheetId="1">#REF!</definedName>
    <definedName name="A_jup2">#REF!</definedName>
    <definedName name="A_jup3" localSheetId="2">#REF!</definedName>
    <definedName name="A_jup3" localSheetId="3">#REF!</definedName>
    <definedName name="A_jup3" localSheetId="0">#REF!</definedName>
    <definedName name="A_jup3" localSheetId="1">#REF!</definedName>
    <definedName name="A_jup3">#REF!</definedName>
    <definedName name="A_jup4" localSheetId="2">#REF!</definedName>
    <definedName name="A_jup4" localSheetId="3">#REF!</definedName>
    <definedName name="A_jup4" localSheetId="0">#REF!</definedName>
    <definedName name="A_jup4" localSheetId="1">#REF!</definedName>
    <definedName name="A_jup4">#REF!</definedName>
    <definedName name="A_K1" localSheetId="2">#REF!</definedName>
    <definedName name="A_K1" localSheetId="3">#REF!</definedName>
    <definedName name="A_K1" localSheetId="0">#REF!</definedName>
    <definedName name="A_K1" localSheetId="1">#REF!</definedName>
    <definedName name="A_K1">#REF!</definedName>
    <definedName name="A_K2" localSheetId="2">#REF!</definedName>
    <definedName name="A_K2" localSheetId="3">#REF!</definedName>
    <definedName name="A_K2" localSheetId="0">#REF!</definedName>
    <definedName name="A_K2" localSheetId="1">#REF!</definedName>
    <definedName name="A_K2">#REF!</definedName>
    <definedName name="A_L1" localSheetId="2">#REF!</definedName>
    <definedName name="A_L1" localSheetId="3">#REF!</definedName>
    <definedName name="A_L1" localSheetId="0">#REF!</definedName>
    <definedName name="A_L1" localSheetId="1">#REF!</definedName>
    <definedName name="A_L1">#REF!</definedName>
    <definedName name="A_L2" localSheetId="2">#REF!</definedName>
    <definedName name="A_L2" localSheetId="3">#REF!</definedName>
    <definedName name="A_L2" localSheetId="0">#REF!</definedName>
    <definedName name="A_L2" localSheetId="1">#REF!</definedName>
    <definedName name="A_L2">#REF!</definedName>
    <definedName name="A_lun1" localSheetId="2">#REF!</definedName>
    <definedName name="A_lun1" localSheetId="3">#REF!</definedName>
    <definedName name="A_lun1" localSheetId="0">#REF!</definedName>
    <definedName name="A_lun1" localSheetId="1">#REF!</definedName>
    <definedName name="A_lun1">#REF!</definedName>
    <definedName name="A_lun2" localSheetId="2">#REF!</definedName>
    <definedName name="A_lun2" localSheetId="3">#REF!</definedName>
    <definedName name="A_lun2" localSheetId="0">#REF!</definedName>
    <definedName name="A_lun2" localSheetId="1">#REF!</definedName>
    <definedName name="A_lun2">#REF!</definedName>
    <definedName name="A_lun3" localSheetId="2">#REF!</definedName>
    <definedName name="A_lun3" localSheetId="3">#REF!</definedName>
    <definedName name="A_lun3" localSheetId="0">#REF!</definedName>
    <definedName name="A_lun3" localSheetId="1">#REF!</definedName>
    <definedName name="A_lun3">#REF!</definedName>
    <definedName name="A_lun4" localSheetId="2">#REF!</definedName>
    <definedName name="A_lun4" localSheetId="3">#REF!</definedName>
    <definedName name="A_lun4" localSheetId="0">#REF!</definedName>
    <definedName name="A_lun4" localSheetId="1">#REF!</definedName>
    <definedName name="A_lun4">#REF!</definedName>
    <definedName name="A_M1" localSheetId="2">#REF!</definedName>
    <definedName name="A_M1" localSheetId="3">#REF!</definedName>
    <definedName name="A_M1" localSheetId="0">#REF!</definedName>
    <definedName name="A_M1" localSheetId="1">#REF!</definedName>
    <definedName name="A_M1">#REF!</definedName>
    <definedName name="A_M2" localSheetId="2">#REF!</definedName>
    <definedName name="A_M2" localSheetId="3">#REF!</definedName>
    <definedName name="A_M2" localSheetId="0">#REF!</definedName>
    <definedName name="A_M2" localSheetId="1">#REF!</definedName>
    <definedName name="A_M2">#REF!</definedName>
    <definedName name="A_M3" localSheetId="2">#REF!</definedName>
    <definedName name="A_M3" localSheetId="3">#REF!</definedName>
    <definedName name="A_M3" localSheetId="0">#REF!</definedName>
    <definedName name="A_M3" localSheetId="1">#REF!</definedName>
    <definedName name="A_M3">#REF!</definedName>
    <definedName name="A_mars1" localSheetId="2">#REF!</definedName>
    <definedName name="A_mars1" localSheetId="3">#REF!</definedName>
    <definedName name="A_mars1" localSheetId="0">#REF!</definedName>
    <definedName name="A_mars1" localSheetId="1">#REF!</definedName>
    <definedName name="A_mars1">#REF!</definedName>
    <definedName name="A_mars2" localSheetId="2">#REF!</definedName>
    <definedName name="A_mars2" localSheetId="3">#REF!</definedName>
    <definedName name="A_mars2" localSheetId="0">#REF!</definedName>
    <definedName name="A_mars2" localSheetId="1">#REF!</definedName>
    <definedName name="A_mars2">#REF!</definedName>
    <definedName name="A_mars3" localSheetId="2">#REF!</definedName>
    <definedName name="A_mars3" localSheetId="3">#REF!</definedName>
    <definedName name="A_mars3" localSheetId="0">#REF!</definedName>
    <definedName name="A_mars3" localSheetId="1">#REF!</definedName>
    <definedName name="A_mars3">#REF!</definedName>
    <definedName name="A_mars4" localSheetId="2">#REF!</definedName>
    <definedName name="A_mars4" localSheetId="3">#REF!</definedName>
    <definedName name="A_mars4" localSheetId="0">#REF!</definedName>
    <definedName name="A_mars4" localSheetId="1">#REF!</definedName>
    <definedName name="A_mars4">#REF!</definedName>
    <definedName name="A_mer1" localSheetId="2">#REF!</definedName>
    <definedName name="A_mer1" localSheetId="3">#REF!</definedName>
    <definedName name="A_mer1" localSheetId="0">#REF!</definedName>
    <definedName name="A_mer1" localSheetId="1">#REF!</definedName>
    <definedName name="A_mer1">#REF!</definedName>
    <definedName name="A_mer2" localSheetId="2">#REF!</definedName>
    <definedName name="A_mer2" localSheetId="3">#REF!</definedName>
    <definedName name="A_mer2" localSheetId="0">#REF!</definedName>
    <definedName name="A_mer2" localSheetId="1">#REF!</definedName>
    <definedName name="A_mer2">#REF!</definedName>
    <definedName name="A_N1" localSheetId="2">#REF!</definedName>
    <definedName name="A_N1" localSheetId="3">#REF!</definedName>
    <definedName name="A_N1" localSheetId="0">#REF!</definedName>
    <definedName name="A_N1" localSheetId="1">#REF!</definedName>
    <definedName name="A_N1">#REF!</definedName>
    <definedName name="A_N2" localSheetId="2">#REF!</definedName>
    <definedName name="A_N2" localSheetId="3">#REF!</definedName>
    <definedName name="A_N2" localSheetId="0">#REF!</definedName>
    <definedName name="A_N2" localSheetId="1">#REF!</definedName>
    <definedName name="A_N2">#REF!</definedName>
    <definedName name="A_N3" localSheetId="2">#REF!</definedName>
    <definedName name="A_N3" localSheetId="3">#REF!</definedName>
    <definedName name="A_N3" localSheetId="0">#REF!</definedName>
    <definedName name="A_N3" localSheetId="1">#REF!</definedName>
    <definedName name="A_N3">#REF!</definedName>
    <definedName name="A_O1" localSheetId="2">#REF!</definedName>
    <definedName name="A_O1" localSheetId="3">#REF!</definedName>
    <definedName name="A_O1" localSheetId="0">#REF!</definedName>
    <definedName name="A_O1" localSheetId="1">#REF!</definedName>
    <definedName name="A_O1">#REF!</definedName>
    <definedName name="A_P1" localSheetId="2">#REF!</definedName>
    <definedName name="A_P1" localSheetId="3">#REF!</definedName>
    <definedName name="A_P1" localSheetId="0">#REF!</definedName>
    <definedName name="A_P1" localSheetId="1">#REF!</definedName>
    <definedName name="A_P1">#REF!</definedName>
    <definedName name="A_P2" localSheetId="2">#REF!</definedName>
    <definedName name="A_P2" localSheetId="3">#REF!</definedName>
    <definedName name="A_P2" localSheetId="0">#REF!</definedName>
    <definedName name="A_P2" localSheetId="1">#REF!</definedName>
    <definedName name="A_P2">#REF!</definedName>
    <definedName name="A_Q1" localSheetId="2">#REF!</definedName>
    <definedName name="A_Q1" localSheetId="3">#REF!</definedName>
    <definedName name="A_Q1" localSheetId="0">#REF!</definedName>
    <definedName name="A_Q1" localSheetId="1">#REF!</definedName>
    <definedName name="A_Q1">#REF!</definedName>
    <definedName name="A_sat1" localSheetId="2">#REF!</definedName>
    <definedName name="A_sat1" localSheetId="3">#REF!</definedName>
    <definedName name="A_sat1" localSheetId="0">#REF!</definedName>
    <definedName name="A_sat1" localSheetId="1">#REF!</definedName>
    <definedName name="A_sat1">#REF!</definedName>
    <definedName name="A_sat2" localSheetId="2">#REF!</definedName>
    <definedName name="A_sat2" localSheetId="3">#REF!</definedName>
    <definedName name="A_sat2" localSheetId="0">#REF!</definedName>
    <definedName name="A_sat2" localSheetId="1">#REF!</definedName>
    <definedName name="A_sat2">#REF!</definedName>
    <definedName name="A_sat3" localSheetId="2">#REF!</definedName>
    <definedName name="A_sat3" localSheetId="3">#REF!</definedName>
    <definedName name="A_sat3" localSheetId="0">#REF!</definedName>
    <definedName name="A_sat3" localSheetId="1">#REF!</definedName>
    <definedName name="A_sat3">#REF!</definedName>
    <definedName name="A_sat4" localSheetId="2">#REF!</definedName>
    <definedName name="A_sat4" localSheetId="3">#REF!</definedName>
    <definedName name="A_sat4" localSheetId="0">#REF!</definedName>
    <definedName name="A_sat4" localSheetId="1">#REF!</definedName>
    <definedName name="A_sat4">#REF!</definedName>
    <definedName name="A_sun1" localSheetId="2">#REF!</definedName>
    <definedName name="A_sun1" localSheetId="3">#REF!</definedName>
    <definedName name="A_sun1" localSheetId="0">#REF!</definedName>
    <definedName name="A_sun1" localSheetId="1">#REF!</definedName>
    <definedName name="A_sun1">#REF!</definedName>
    <definedName name="A_sun2" localSheetId="2">#REF!</definedName>
    <definedName name="A_sun2" localSheetId="3">#REF!</definedName>
    <definedName name="A_sun2" localSheetId="0">#REF!</definedName>
    <definedName name="A_sun2" localSheetId="1">#REF!</definedName>
    <definedName name="A_sun2">#REF!</definedName>
    <definedName name="A_sun3" localSheetId="2">#REF!</definedName>
    <definedName name="A_sun3" localSheetId="3">#REF!</definedName>
    <definedName name="A_sun3" localSheetId="0">#REF!</definedName>
    <definedName name="A_sun3" localSheetId="1">#REF!</definedName>
    <definedName name="A_sun3">#REF!</definedName>
    <definedName name="A_ven1" localSheetId="2">#REF!</definedName>
    <definedName name="A_ven1" localSheetId="3">#REF!</definedName>
    <definedName name="A_ven1" localSheetId="0">#REF!</definedName>
    <definedName name="A_ven1" localSheetId="1">#REF!</definedName>
    <definedName name="A_ven1">#REF!</definedName>
    <definedName name="A_X" localSheetId="2">#REF!</definedName>
    <definedName name="A_X" localSheetId="3">#REF!</definedName>
    <definedName name="A_X" localSheetId="0">#REF!</definedName>
    <definedName name="A_X" localSheetId="1">#REF!</definedName>
    <definedName name="A_X">#REF!</definedName>
    <definedName name="date">#REF!</definedName>
    <definedName name="Day">'Moon Phases'!#REF!</definedName>
    <definedName name="Days">Conversion!$D$51:$D$81</definedName>
    <definedName name="degrees">{0;90;180;270}</definedName>
    <definedName name="dgrs">{0;90;180;270}</definedName>
    <definedName name="KeyDates">'Moon Phases'!$T$11:$T$18</definedName>
    <definedName name="Month">'Moon Phases'!$E$5</definedName>
    <definedName name="Months">Conversion!$C$51:$C$62</definedName>
    <definedName name="MonthSelected">Conversion!$E$51</definedName>
    <definedName name="Monthselected10">Conversion!$I$59</definedName>
    <definedName name="MonthSelected11">Conversion!$I$60</definedName>
    <definedName name="MonthSelected12">Conversion!$I$61</definedName>
    <definedName name="MonthSelected2">Conversion!$I$51</definedName>
    <definedName name="MonthSelected3">Conversion!$I$52</definedName>
    <definedName name="MonthSelected4">Conversion!$I$53</definedName>
    <definedName name="MonthSelected5">Conversion!$I$54</definedName>
    <definedName name="MonthSelected6">Conversion!$I$55</definedName>
    <definedName name="MonthSelected7">Conversion!$I$56</definedName>
    <definedName name="MonthSelected8">Conversion!$I$57</definedName>
    <definedName name="MonthSelected9">Conversion!$I$58</definedName>
    <definedName name="_xlnm.Print_Area" localSheetId="1">'Moon Phases'!$B$7:$V$18</definedName>
    <definedName name="SD">[1]Definitions!$C$8</definedName>
    <definedName name="Year">'Moon Phases'!$E$4</definedName>
  </definedNames>
  <calcPr calcId="191029"/>
  <extLst>
    <ext xmlns:x14="http://schemas.microsoft.com/office/spreadsheetml/2009/9/main" uri="{79F54976-1DA5-4618-B147-4CDE4B953A38}">
      <x14:workbookPr defaultImageDpi="32767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M51" i="45" l="1"/>
  <c r="N51" i="45"/>
  <c r="M52" i="45"/>
  <c r="N52" i="45"/>
  <c r="M53" i="45"/>
  <c r="M54" i="45" s="1"/>
  <c r="N53" i="45"/>
  <c r="C120" i="44"/>
  <c r="B126" i="44"/>
  <c r="B127" i="44"/>
  <c r="B128" i="44" s="1"/>
  <c r="N54" i="45" l="1"/>
  <c r="M55" i="45"/>
  <c r="B129" i="44"/>
  <c r="N55" i="45" l="1"/>
  <c r="M56" i="45"/>
  <c r="B130" i="44"/>
  <c r="M57" i="45" l="1"/>
  <c r="N56" i="45"/>
  <c r="B131" i="44"/>
  <c r="N57" i="45" l="1"/>
  <c r="M58" i="45"/>
  <c r="N58" i="45" s="1"/>
  <c r="B132" i="44"/>
  <c r="B133" i="44" l="1"/>
  <c r="B134" i="44" l="1"/>
  <c r="B135" i="44" l="1"/>
  <c r="B136" i="44" l="1"/>
  <c r="B137" i="44" l="1"/>
  <c r="B138" i="44" l="1"/>
  <c r="B139" i="44" l="1"/>
  <c r="B140" i="44" l="1"/>
  <c r="B141" i="44" l="1"/>
  <c r="B142" i="44" l="1"/>
  <c r="B143" i="44" l="1"/>
  <c r="B144" i="44" l="1"/>
  <c r="B145" i="44" l="1"/>
  <c r="B146" i="44" l="1"/>
  <c r="B147" i="44" l="1"/>
  <c r="B148" i="44" l="1"/>
  <c r="B149" i="44" l="1"/>
  <c r="B150" i="44" l="1"/>
  <c r="B151" i="44" l="1"/>
  <c r="B152" i="44" l="1"/>
  <c r="B153" i="44" l="1"/>
  <c r="B154" i="44" l="1"/>
  <c r="B155" i="44" l="1"/>
  <c r="B156" i="44" l="1"/>
  <c r="B157" i="44" l="1"/>
  <c r="B158" i="44" l="1"/>
  <c r="B159" i="44" l="1"/>
  <c r="B160" i="44" l="1"/>
  <c r="B161" i="44" l="1"/>
  <c r="B162" i="44" l="1"/>
  <c r="B163" i="44" l="1"/>
  <c r="B164" i="44" l="1"/>
  <c r="B165" i="44" l="1"/>
  <c r="B166" i="44" l="1"/>
  <c r="D33" i="45"/>
  <c r="D34" i="45" s="1"/>
  <c r="D35" i="45" s="1"/>
  <c r="D36" i="45" s="1"/>
  <c r="D37" i="45" s="1"/>
  <c r="D38" i="45" s="1"/>
  <c r="D39" i="45" s="1"/>
  <c r="D40" i="45" s="1"/>
  <c r="D41" i="45" s="1"/>
  <c r="D42" i="45" s="1"/>
  <c r="D43" i="45" s="1"/>
  <c r="E11" i="45"/>
  <c r="AA16" i="42"/>
  <c r="AA21" i="42" s="1"/>
  <c r="E5" i="42"/>
  <c r="E51" i="45" s="1"/>
  <c r="I51" i="45" s="1"/>
  <c r="E4" i="42"/>
  <c r="H4" i="42" s="1"/>
  <c r="N2" i="45"/>
  <c r="C11" i="45"/>
  <c r="H28" i="45"/>
  <c r="J28" i="45"/>
  <c r="L28" i="45"/>
  <c r="N28" i="45"/>
  <c r="B33" i="45"/>
  <c r="B34" i="45" s="1"/>
  <c r="B35" i="45" s="1"/>
  <c r="B36" i="45" s="1"/>
  <c r="B37" i="45" s="1"/>
  <c r="B38" i="45" s="1"/>
  <c r="B39" i="45" s="1"/>
  <c r="B40" i="45" s="1"/>
  <c r="B41" i="45" s="1"/>
  <c r="B42" i="45" s="1"/>
  <c r="B43" i="45" s="1"/>
  <c r="C4" i="44"/>
  <c r="K51" i="45" l="1"/>
  <c r="K52" i="45" s="1"/>
  <c r="J51" i="45"/>
  <c r="I52" i="45"/>
  <c r="B167" i="44"/>
  <c r="E3" i="45"/>
  <c r="E5" i="45"/>
  <c r="E14" i="45" s="1"/>
  <c r="E20" i="45" s="1"/>
  <c r="E6" i="45"/>
  <c r="E18" i="45" s="1"/>
  <c r="C6" i="44"/>
  <c r="AA20" i="42"/>
  <c r="B10" i="42"/>
  <c r="B12" i="42" s="1"/>
  <c r="C12" i="42" s="1"/>
  <c r="D12" i="42" s="1"/>
  <c r="E12" i="42" s="1"/>
  <c r="F12" i="42" s="1"/>
  <c r="G12" i="42" s="1"/>
  <c r="H12" i="42" s="1"/>
  <c r="B13" i="42" s="1"/>
  <c r="C13" i="42" s="1"/>
  <c r="D13" i="42" s="1"/>
  <c r="E13" i="42" s="1"/>
  <c r="F13" i="42" s="1"/>
  <c r="G13" i="42" s="1"/>
  <c r="H13" i="42" s="1"/>
  <c r="B14" i="42" s="1"/>
  <c r="C14" i="42" s="1"/>
  <c r="D14" i="42" s="1"/>
  <c r="E14" i="42" s="1"/>
  <c r="F14" i="42" s="1"/>
  <c r="G14" i="42" s="1"/>
  <c r="H14" i="42" s="1"/>
  <c r="B15" i="42" s="1"/>
  <c r="C15" i="42" s="1"/>
  <c r="D15" i="42" s="1"/>
  <c r="E15" i="42" s="1"/>
  <c r="F15" i="42" s="1"/>
  <c r="G15" i="42" s="1"/>
  <c r="H15" i="42" s="1"/>
  <c r="B16" i="42" s="1"/>
  <c r="C16" i="42" s="1"/>
  <c r="D16" i="42" s="1"/>
  <c r="E16" i="42" s="1"/>
  <c r="F16" i="42" s="1"/>
  <c r="G16" i="42" s="1"/>
  <c r="H16" i="42" s="1"/>
  <c r="B17" i="42" s="1"/>
  <c r="C17" i="42" s="1"/>
  <c r="D17" i="42" s="1"/>
  <c r="E17" i="42" s="1"/>
  <c r="F17" i="42" s="1"/>
  <c r="G17" i="42" s="1"/>
  <c r="H17" i="42" s="1"/>
  <c r="H5" i="42"/>
  <c r="AA8" i="42" s="1"/>
  <c r="B7" i="42"/>
  <c r="J52" i="45" l="1"/>
  <c r="I53" i="45"/>
  <c r="K53" i="45"/>
  <c r="B168" i="44"/>
  <c r="J10" i="42"/>
  <c r="J12" i="42" s="1"/>
  <c r="K12" i="42" s="1"/>
  <c r="L12" i="42" s="1"/>
  <c r="M12" i="42" s="1"/>
  <c r="N12" i="42" s="1"/>
  <c r="O12" i="42" s="1"/>
  <c r="P12" i="42" s="1"/>
  <c r="J13" i="42" s="1"/>
  <c r="K13" i="42" s="1"/>
  <c r="L13" i="42" s="1"/>
  <c r="M13" i="42" s="1"/>
  <c r="N13" i="42" s="1"/>
  <c r="O13" i="42" s="1"/>
  <c r="P13" i="42" s="1"/>
  <c r="J14" i="42" s="1"/>
  <c r="K14" i="42" s="1"/>
  <c r="L14" i="42" s="1"/>
  <c r="M14" i="42" s="1"/>
  <c r="N14" i="42" s="1"/>
  <c r="O14" i="42" s="1"/>
  <c r="P14" i="42" s="1"/>
  <c r="J15" i="42" s="1"/>
  <c r="K15" i="42" s="1"/>
  <c r="L15" i="42" s="1"/>
  <c r="M15" i="42" s="1"/>
  <c r="N15" i="42" s="1"/>
  <c r="O15" i="42" s="1"/>
  <c r="P15" i="42" s="1"/>
  <c r="J16" i="42" s="1"/>
  <c r="K16" i="42" s="1"/>
  <c r="L16" i="42" s="1"/>
  <c r="M16" i="42" s="1"/>
  <c r="N16" i="42" s="1"/>
  <c r="O16" i="42" s="1"/>
  <c r="P16" i="42" s="1"/>
  <c r="J17" i="42" s="1"/>
  <c r="K17" i="42" s="1"/>
  <c r="L17" i="42" s="1"/>
  <c r="M17" i="42" s="1"/>
  <c r="N17" i="42" s="1"/>
  <c r="O17" i="42" s="1"/>
  <c r="P17" i="42" s="1"/>
  <c r="E13" i="45"/>
  <c r="AA12" i="42"/>
  <c r="C7" i="44" s="1"/>
  <c r="AA13" i="42"/>
  <c r="C8" i="44" s="1"/>
  <c r="C3" i="45"/>
  <c r="E19" i="45"/>
  <c r="E15" i="45"/>
  <c r="C5" i="45"/>
  <c r="C14" i="45" s="1"/>
  <c r="C20" i="45" s="1"/>
  <c r="C6" i="45"/>
  <c r="C18" i="45" s="1"/>
  <c r="I54" i="45" l="1"/>
  <c r="K54" i="45"/>
  <c r="J53" i="45"/>
  <c r="B169" i="44"/>
  <c r="C13" i="45"/>
  <c r="C9" i="44"/>
  <c r="C14" i="44" s="1"/>
  <c r="C15" i="44" s="1"/>
  <c r="F28" i="44" s="1"/>
  <c r="D28" i="44" s="1"/>
  <c r="B28" i="44" s="1"/>
  <c r="E16" i="45"/>
  <c r="E17" i="45" s="1"/>
  <c r="E21" i="45" s="1"/>
  <c r="AA19" i="42" s="1"/>
  <c r="AA22" i="42" s="1"/>
  <c r="AA18" i="42" s="1"/>
  <c r="C19" i="45"/>
  <c r="C15" i="45"/>
  <c r="I55" i="45" l="1"/>
  <c r="J54" i="45"/>
  <c r="K55" i="45"/>
  <c r="B170" i="44"/>
  <c r="F33" i="44"/>
  <c r="D33" i="44" s="1"/>
  <c r="B33" i="44" s="1"/>
  <c r="D21" i="44"/>
  <c r="C21" i="44" s="1"/>
  <c r="F38" i="44"/>
  <c r="D38" i="44" s="1"/>
  <c r="B38" i="44" s="1"/>
  <c r="F27" i="44"/>
  <c r="D27" i="44" s="1"/>
  <c r="B27" i="44" s="1"/>
  <c r="F31" i="44"/>
  <c r="D31" i="44" s="1"/>
  <c r="B31" i="44" s="1"/>
  <c r="D22" i="44"/>
  <c r="C22" i="44" s="1"/>
  <c r="M14" i="44"/>
  <c r="M15" i="44" s="1"/>
  <c r="M16" i="44" s="1"/>
  <c r="L73" i="44" s="1"/>
  <c r="F36" i="44"/>
  <c r="D36" i="44" s="1"/>
  <c r="B36" i="44" s="1"/>
  <c r="F34" i="44"/>
  <c r="D34" i="44" s="1"/>
  <c r="B34" i="44" s="1"/>
  <c r="F30" i="44"/>
  <c r="D30" i="44" s="1"/>
  <c r="B30" i="44" s="1"/>
  <c r="AG14" i="44"/>
  <c r="AG15" i="44" s="1"/>
  <c r="AG16" i="44" s="1"/>
  <c r="AF82" i="44" s="1"/>
  <c r="W14" i="44"/>
  <c r="W15" i="44" s="1"/>
  <c r="Z30" i="44" s="1"/>
  <c r="X30" i="44" s="1"/>
  <c r="V30" i="44" s="1"/>
  <c r="F39" i="44"/>
  <c r="D39" i="44" s="1"/>
  <c r="B39" i="44" s="1"/>
  <c r="AQ14" i="44"/>
  <c r="AQ15" i="44" s="1"/>
  <c r="AQ16" i="44" s="1"/>
  <c r="AP82" i="44" s="1"/>
  <c r="D20" i="44"/>
  <c r="C20" i="44" s="1"/>
  <c r="F35" i="44"/>
  <c r="D35" i="44" s="1"/>
  <c r="B35" i="44" s="1"/>
  <c r="F37" i="44"/>
  <c r="D37" i="44" s="1"/>
  <c r="B37" i="44" s="1"/>
  <c r="C16" i="44"/>
  <c r="B73" i="44" s="1"/>
  <c r="C17" i="44"/>
  <c r="F26" i="44"/>
  <c r="D26" i="44" s="1"/>
  <c r="B26" i="44" s="1"/>
  <c r="F29" i="44"/>
  <c r="D29" i="44" s="1"/>
  <c r="B29" i="44" s="1"/>
  <c r="F32" i="44"/>
  <c r="D32" i="44" s="1"/>
  <c r="B32" i="44" s="1"/>
  <c r="D19" i="44"/>
  <c r="C19" i="44" s="1"/>
  <c r="C16" i="45"/>
  <c r="C17" i="45" s="1"/>
  <c r="C21" i="45" s="1"/>
  <c r="AA11" i="42" s="1"/>
  <c r="AA14" i="42" s="1"/>
  <c r="AA10" i="42" s="1"/>
  <c r="B84" i="44" l="1"/>
  <c r="P31" i="44"/>
  <c r="N31" i="44" s="1"/>
  <c r="L31" i="44" s="1"/>
  <c r="D55" i="44"/>
  <c r="B76" i="44"/>
  <c r="F47" i="44"/>
  <c r="L72" i="44"/>
  <c r="N21" i="44"/>
  <c r="M21" i="44" s="1"/>
  <c r="J55" i="45"/>
  <c r="K56" i="45"/>
  <c r="I56" i="45"/>
  <c r="B171" i="44"/>
  <c r="L84" i="44"/>
  <c r="L52" i="44"/>
  <c r="N20" i="44"/>
  <c r="M20" i="44" s="1"/>
  <c r="P28" i="44"/>
  <c r="N28" i="44" s="1"/>
  <c r="L28" i="44" s="1"/>
  <c r="F73" i="44"/>
  <c r="C73" i="44" s="1"/>
  <c r="P35" i="44"/>
  <c r="N35" i="44" s="1"/>
  <c r="L35" i="44" s="1"/>
  <c r="N56" i="44"/>
  <c r="L54" i="44"/>
  <c r="N54" i="44"/>
  <c r="L56" i="44"/>
  <c r="L76" i="44"/>
  <c r="AR55" i="44"/>
  <c r="W16" i="44"/>
  <c r="V49" i="44" s="1"/>
  <c r="X20" i="44"/>
  <c r="W20" i="44" s="1"/>
  <c r="AG17" i="44"/>
  <c r="AP73" i="44"/>
  <c r="AP72" i="44"/>
  <c r="AP85" i="44"/>
  <c r="Z33" i="44"/>
  <c r="X33" i="44" s="1"/>
  <c r="V33" i="44" s="1"/>
  <c r="F53" i="44"/>
  <c r="C53" i="44" s="1"/>
  <c r="F90" i="44"/>
  <c r="C90" i="44" s="1"/>
  <c r="AH21" i="44"/>
  <c r="AG21" i="44" s="1"/>
  <c r="AF77" i="44"/>
  <c r="N52" i="44"/>
  <c r="F51" i="44"/>
  <c r="E51" i="44" s="1"/>
  <c r="AR22" i="44"/>
  <c r="AQ22" i="44" s="1"/>
  <c r="AH56" i="44"/>
  <c r="AR19" i="44"/>
  <c r="AQ19" i="44" s="1"/>
  <c r="L47" i="44"/>
  <c r="AH54" i="44"/>
  <c r="AH19" i="44"/>
  <c r="AG19" i="44" s="1"/>
  <c r="L48" i="44"/>
  <c r="AQ17" i="44"/>
  <c r="L77" i="44"/>
  <c r="F72" i="44"/>
  <c r="Z28" i="44"/>
  <c r="X28" i="44" s="1"/>
  <c r="V28" i="44" s="1"/>
  <c r="AJ30" i="44"/>
  <c r="AH30" i="44" s="1"/>
  <c r="AF30" i="44" s="1"/>
  <c r="P38" i="44"/>
  <c r="N38" i="44" s="1"/>
  <c r="L38" i="44" s="1"/>
  <c r="P37" i="44"/>
  <c r="N37" i="44" s="1"/>
  <c r="L37" i="44" s="1"/>
  <c r="AH55" i="44"/>
  <c r="AF76" i="44"/>
  <c r="P39" i="44"/>
  <c r="N39" i="44" s="1"/>
  <c r="L39" i="44" s="1"/>
  <c r="AR21" i="44"/>
  <c r="AQ21" i="44" s="1"/>
  <c r="Z37" i="44"/>
  <c r="X37" i="44" s="1"/>
  <c r="V37" i="44" s="1"/>
  <c r="B40" i="44"/>
  <c r="F104" i="44" s="1"/>
  <c r="AF72" i="44"/>
  <c r="N49" i="44"/>
  <c r="AH44" i="44"/>
  <c r="P29" i="44"/>
  <c r="N29" i="44" s="1"/>
  <c r="L29" i="44" s="1"/>
  <c r="L55" i="44"/>
  <c r="AR49" i="44"/>
  <c r="L83" i="44"/>
  <c r="P30" i="44"/>
  <c r="N30" i="44" s="1"/>
  <c r="L30" i="44" s="1"/>
  <c r="AJ35" i="44"/>
  <c r="AH35" i="44" s="1"/>
  <c r="AF35" i="44" s="1"/>
  <c r="AJ37" i="44"/>
  <c r="AH37" i="44" s="1"/>
  <c r="AF37" i="44" s="1"/>
  <c r="N48" i="44"/>
  <c r="AF55" i="44"/>
  <c r="AJ28" i="44"/>
  <c r="AH28" i="44" s="1"/>
  <c r="AF28" i="44" s="1"/>
  <c r="Z32" i="44"/>
  <c r="X32" i="44" s="1"/>
  <c r="V32" i="44" s="1"/>
  <c r="M17" i="44"/>
  <c r="X22" i="44"/>
  <c r="W22" i="44" s="1"/>
  <c r="AR48" i="44"/>
  <c r="P32" i="44"/>
  <c r="N32" i="44" s="1"/>
  <c r="L32" i="44" s="1"/>
  <c r="AT29" i="44"/>
  <c r="AR29" i="44" s="1"/>
  <c r="AP29" i="44" s="1"/>
  <c r="F62" i="44"/>
  <c r="C62" i="44" s="1"/>
  <c r="AT33" i="44"/>
  <c r="AR33" i="44" s="1"/>
  <c r="AP33" i="44" s="1"/>
  <c r="AJ38" i="44"/>
  <c r="AH38" i="44" s="1"/>
  <c r="AF38" i="44" s="1"/>
  <c r="AJ26" i="44"/>
  <c r="AH26" i="44" s="1"/>
  <c r="AF26" i="44" s="1"/>
  <c r="N22" i="44"/>
  <c r="M22" i="44" s="1"/>
  <c r="L85" i="44"/>
  <c r="X21" i="44"/>
  <c r="W21" i="44" s="1"/>
  <c r="AP77" i="44"/>
  <c r="L49" i="44"/>
  <c r="F95" i="44"/>
  <c r="C95" i="44" s="1"/>
  <c r="B72" i="44"/>
  <c r="AT35" i="44"/>
  <c r="AR35" i="44" s="1"/>
  <c r="AP35" i="44" s="1"/>
  <c r="AJ29" i="44"/>
  <c r="AH29" i="44" s="1"/>
  <c r="AF29" i="44" s="1"/>
  <c r="AR52" i="44"/>
  <c r="D56" i="44"/>
  <c r="AH20" i="44"/>
  <c r="AG20" i="44" s="1"/>
  <c r="AR56" i="44"/>
  <c r="F87" i="44"/>
  <c r="C87" i="44" s="1"/>
  <c r="D54" i="44"/>
  <c r="B83" i="44"/>
  <c r="Z31" i="44"/>
  <c r="X31" i="44" s="1"/>
  <c r="V31" i="44" s="1"/>
  <c r="D47" i="44"/>
  <c r="AF84" i="44"/>
  <c r="F63" i="44"/>
  <c r="E63" i="44" s="1"/>
  <c r="Z29" i="44"/>
  <c r="X29" i="44" s="1"/>
  <c r="V29" i="44" s="1"/>
  <c r="AJ27" i="44"/>
  <c r="AH27" i="44" s="1"/>
  <c r="AF27" i="44" s="1"/>
  <c r="AF52" i="44"/>
  <c r="AJ32" i="44"/>
  <c r="AH32" i="44" s="1"/>
  <c r="AF32" i="44" s="1"/>
  <c r="AF73" i="44"/>
  <c r="AP81" i="44"/>
  <c r="F58" i="44"/>
  <c r="E58" i="44" s="1"/>
  <c r="B47" i="44"/>
  <c r="C47" i="44" s="1"/>
  <c r="B44" i="44"/>
  <c r="F64" i="44"/>
  <c r="E64" i="44" s="1"/>
  <c r="AJ36" i="44"/>
  <c r="AH36" i="44" s="1"/>
  <c r="AF36" i="44" s="1"/>
  <c r="B52" i="44"/>
  <c r="W17" i="44"/>
  <c r="AP49" i="44"/>
  <c r="AH22" i="44"/>
  <c r="AG22" i="44" s="1"/>
  <c r="Z34" i="44"/>
  <c r="X34" i="44" s="1"/>
  <c r="V34" i="44" s="1"/>
  <c r="AR47" i="44"/>
  <c r="X19" i="44"/>
  <c r="W19" i="44" s="1"/>
  <c r="AF48" i="44"/>
  <c r="AH52" i="44"/>
  <c r="AP54" i="44"/>
  <c r="AP52" i="44"/>
  <c r="L44" i="44"/>
  <c r="N44" i="44"/>
  <c r="B77" i="44"/>
  <c r="B55" i="44"/>
  <c r="F48" i="44"/>
  <c r="AH49" i="44"/>
  <c r="B82" i="44"/>
  <c r="AF47" i="44"/>
  <c r="F77" i="44"/>
  <c r="AT38" i="44"/>
  <c r="AR38" i="44" s="1"/>
  <c r="AP38" i="44" s="1"/>
  <c r="Z39" i="44"/>
  <c r="X39" i="44" s="1"/>
  <c r="V39" i="44" s="1"/>
  <c r="F52" i="44"/>
  <c r="AF83" i="44"/>
  <c r="F94" i="44"/>
  <c r="C94" i="44" s="1"/>
  <c r="F67" i="44"/>
  <c r="C67" i="44" s="1"/>
  <c r="D52" i="44"/>
  <c r="B49" i="44"/>
  <c r="AR20" i="44"/>
  <c r="AQ20" i="44" s="1"/>
  <c r="AT47" i="44" s="1"/>
  <c r="AJ34" i="44"/>
  <c r="AH34" i="44" s="1"/>
  <c r="AF34" i="44" s="1"/>
  <c r="AF85" i="44"/>
  <c r="AP83" i="44"/>
  <c r="F82" i="44"/>
  <c r="AT36" i="44"/>
  <c r="AR36" i="44" s="1"/>
  <c r="AP36" i="44" s="1"/>
  <c r="D48" i="44"/>
  <c r="Z36" i="44"/>
  <c r="X36" i="44" s="1"/>
  <c r="V36" i="44" s="1"/>
  <c r="AH47" i="44"/>
  <c r="AP47" i="44"/>
  <c r="F76" i="44"/>
  <c r="C76" i="44" s="1"/>
  <c r="AJ39" i="44"/>
  <c r="AH39" i="44" s="1"/>
  <c r="AF39" i="44" s="1"/>
  <c r="Z26" i="44"/>
  <c r="X26" i="44" s="1"/>
  <c r="V26" i="44" s="1"/>
  <c r="AF54" i="44"/>
  <c r="AF49" i="44"/>
  <c r="AP48" i="44"/>
  <c r="AJ33" i="44"/>
  <c r="AH33" i="44" s="1"/>
  <c r="AF33" i="44" s="1"/>
  <c r="F89" i="44"/>
  <c r="C89" i="44" s="1"/>
  <c r="P26" i="44"/>
  <c r="N26" i="44" s="1"/>
  <c r="L26" i="44" s="1"/>
  <c r="F92" i="44"/>
  <c r="C92" i="44" s="1"/>
  <c r="B56" i="44"/>
  <c r="P34" i="44"/>
  <c r="N34" i="44" s="1"/>
  <c r="L34" i="44" s="1"/>
  <c r="AT34" i="44"/>
  <c r="AR34" i="44" s="1"/>
  <c r="AP34" i="44" s="1"/>
  <c r="AP84" i="44"/>
  <c r="C99" i="44"/>
  <c r="E105" i="44" s="1"/>
  <c r="AT30" i="44"/>
  <c r="AR30" i="44" s="1"/>
  <c r="AP30" i="44" s="1"/>
  <c r="D44" i="44"/>
  <c r="Z35" i="44"/>
  <c r="X35" i="44" s="1"/>
  <c r="V35" i="44" s="1"/>
  <c r="AR44" i="44"/>
  <c r="AP44" i="44"/>
  <c r="P27" i="44"/>
  <c r="N27" i="44" s="1"/>
  <c r="L27" i="44" s="1"/>
  <c r="P33" i="44"/>
  <c r="N33" i="44" s="1"/>
  <c r="L33" i="44" s="1"/>
  <c r="N19" i="44"/>
  <c r="M19" i="44" s="1"/>
  <c r="AT27" i="44"/>
  <c r="AR27" i="44" s="1"/>
  <c r="AP27" i="44" s="1"/>
  <c r="Z38" i="44"/>
  <c r="X38" i="44" s="1"/>
  <c r="V38" i="44" s="1"/>
  <c r="AF81" i="44"/>
  <c r="AH48" i="44"/>
  <c r="AP76" i="44"/>
  <c r="N55" i="44"/>
  <c r="L82" i="44"/>
  <c r="N47" i="44"/>
  <c r="F91" i="44"/>
  <c r="C91" i="44" s="1"/>
  <c r="B54" i="44"/>
  <c r="B48" i="44"/>
  <c r="F59" i="44"/>
  <c r="E59" i="44" s="1"/>
  <c r="AP56" i="44"/>
  <c r="F84" i="44"/>
  <c r="C84" i="44" s="1"/>
  <c r="AJ31" i="44"/>
  <c r="AH31" i="44" s="1"/>
  <c r="AF31" i="44" s="1"/>
  <c r="AR54" i="44"/>
  <c r="F74" i="44"/>
  <c r="C74" i="44" s="1"/>
  <c r="AP55" i="44"/>
  <c r="AT31" i="44"/>
  <c r="AR31" i="44" s="1"/>
  <c r="AP31" i="44" s="1"/>
  <c r="AF56" i="44"/>
  <c r="B81" i="44"/>
  <c r="AT32" i="44"/>
  <c r="AR32" i="44" s="1"/>
  <c r="AP32" i="44" s="1"/>
  <c r="AT28" i="44"/>
  <c r="AR28" i="44" s="1"/>
  <c r="AP28" i="44" s="1"/>
  <c r="AT37" i="44"/>
  <c r="AR37" i="44" s="1"/>
  <c r="AP37" i="44" s="1"/>
  <c r="AT26" i="44"/>
  <c r="AR26" i="44" s="1"/>
  <c r="AP26" i="44" s="1"/>
  <c r="AT39" i="44"/>
  <c r="AR39" i="44" s="1"/>
  <c r="AP39" i="44" s="1"/>
  <c r="Z27" i="44"/>
  <c r="X27" i="44" s="1"/>
  <c r="V27" i="44" s="1"/>
  <c r="AF44" i="44"/>
  <c r="F45" i="44"/>
  <c r="E45" i="44" s="1"/>
  <c r="L81" i="44"/>
  <c r="P36" i="44"/>
  <c r="N36" i="44" s="1"/>
  <c r="L36" i="44" s="1"/>
  <c r="F85" i="44"/>
  <c r="D49" i="44"/>
  <c r="B85" i="44"/>
  <c r="F60" i="44"/>
  <c r="C60" i="44" s="1"/>
  <c r="F83" i="44"/>
  <c r="C83" i="44" s="1"/>
  <c r="F80" i="44"/>
  <c r="C80" i="44" s="1"/>
  <c r="F66" i="44"/>
  <c r="C66" i="44" s="1"/>
  <c r="F88" i="44"/>
  <c r="C88" i="44" s="1"/>
  <c r="F65" i="44"/>
  <c r="C65" i="44" s="1"/>
  <c r="F61" i="44"/>
  <c r="E61" i="44" s="1"/>
  <c r="F55" i="44"/>
  <c r="F46" i="44"/>
  <c r="E46" i="44" s="1"/>
  <c r="F79" i="44"/>
  <c r="C79" i="44" s="1"/>
  <c r="F86" i="44"/>
  <c r="C86" i="44" s="1"/>
  <c r="F71" i="44"/>
  <c r="C71" i="44" s="1"/>
  <c r="F75" i="44"/>
  <c r="C75" i="44" s="1"/>
  <c r="F54" i="44"/>
  <c r="F43" i="44"/>
  <c r="C43" i="44" s="1"/>
  <c r="F81" i="44"/>
  <c r="F50" i="44"/>
  <c r="C50" i="44" s="1"/>
  <c r="F78" i="44"/>
  <c r="C78" i="44" s="1"/>
  <c r="F49" i="44"/>
  <c r="E49" i="44" s="1"/>
  <c r="F44" i="44"/>
  <c r="F57" i="44"/>
  <c r="E57" i="44" s="1"/>
  <c r="F56" i="44"/>
  <c r="F93" i="44"/>
  <c r="C93" i="44" s="1"/>
  <c r="C82" i="44" l="1"/>
  <c r="V55" i="44"/>
  <c r="X44" i="44"/>
  <c r="V83" i="44"/>
  <c r="V48" i="44"/>
  <c r="V44" i="44"/>
  <c r="V84" i="44"/>
  <c r="X47" i="44"/>
  <c r="X55" i="44"/>
  <c r="E62" i="44"/>
  <c r="F103" i="44"/>
  <c r="X48" i="44"/>
  <c r="F102" i="44"/>
  <c r="V82" i="44"/>
  <c r="W82" i="44" s="1"/>
  <c r="E54" i="44"/>
  <c r="C59" i="44"/>
  <c r="V56" i="44"/>
  <c r="C77" i="44"/>
  <c r="C85" i="44"/>
  <c r="V81" i="44"/>
  <c r="E48" i="44"/>
  <c r="E47" i="44"/>
  <c r="AJ94" i="44"/>
  <c r="AG94" i="44" s="1"/>
  <c r="AS47" i="44"/>
  <c r="AJ95" i="44"/>
  <c r="AG95" i="44" s="1"/>
  <c r="K57" i="45"/>
  <c r="I57" i="45"/>
  <c r="J56" i="45"/>
  <c r="Z92" i="44"/>
  <c r="W92" i="44" s="1"/>
  <c r="AJ89" i="44"/>
  <c r="AG89" i="44" s="1"/>
  <c r="AJ84" i="44"/>
  <c r="AG84" i="44" s="1"/>
  <c r="AJ47" i="44"/>
  <c r="AG47" i="44" s="1"/>
  <c r="AJ74" i="44"/>
  <c r="AG74" i="44" s="1"/>
  <c r="AT92" i="44"/>
  <c r="AQ92" i="44" s="1"/>
  <c r="P78" i="44"/>
  <c r="M78" i="44" s="1"/>
  <c r="E53" i="44"/>
  <c r="C48" i="44"/>
  <c r="C72" i="44"/>
  <c r="AJ77" i="44"/>
  <c r="AG77" i="44" s="1"/>
  <c r="C55" i="44"/>
  <c r="B172" i="44"/>
  <c r="AT80" i="44"/>
  <c r="AQ80" i="44" s="1"/>
  <c r="P91" i="44"/>
  <c r="M91" i="44" s="1"/>
  <c r="P81" i="44"/>
  <c r="M81" i="44" s="1"/>
  <c r="P45" i="44"/>
  <c r="M45" i="44" s="1"/>
  <c r="AT54" i="44"/>
  <c r="AS54" i="44" s="1"/>
  <c r="AT75" i="44"/>
  <c r="AQ75" i="44" s="1"/>
  <c r="AJ64" i="44"/>
  <c r="AG64" i="44" s="1"/>
  <c r="AT45" i="44"/>
  <c r="AS45" i="44" s="1"/>
  <c r="AT78" i="44"/>
  <c r="AQ78" i="44" s="1"/>
  <c r="E52" i="44"/>
  <c r="Z82" i="44"/>
  <c r="AF40" i="44"/>
  <c r="P74" i="44"/>
  <c r="M74" i="44" s="1"/>
  <c r="P46" i="44"/>
  <c r="M46" i="44" s="1"/>
  <c r="AJ67" i="44"/>
  <c r="AI67" i="44" s="1"/>
  <c r="P73" i="44"/>
  <c r="M73" i="44" s="1"/>
  <c r="AT88" i="44"/>
  <c r="AQ88" i="44" s="1"/>
  <c r="Z52" i="44"/>
  <c r="AJ66" i="44"/>
  <c r="AG66" i="44" s="1"/>
  <c r="Z49" i="44"/>
  <c r="W49" i="44" s="1"/>
  <c r="P43" i="44"/>
  <c r="M43" i="44" s="1"/>
  <c r="AT59" i="44"/>
  <c r="AS59" i="44" s="1"/>
  <c r="AT56" i="44"/>
  <c r="AS56" i="44" s="1"/>
  <c r="Z64" i="44"/>
  <c r="Y64" i="44" s="1"/>
  <c r="AT46" i="44"/>
  <c r="AT50" i="44"/>
  <c r="AQ50" i="44" s="1"/>
  <c r="AG99" i="44"/>
  <c r="AI105" i="44" s="1"/>
  <c r="AJ44" i="44"/>
  <c r="AI44" i="44" s="1"/>
  <c r="C45" i="44"/>
  <c r="AT83" i="44"/>
  <c r="AQ83" i="44" s="1"/>
  <c r="P66" i="44"/>
  <c r="M66" i="44" s="1"/>
  <c r="P84" i="44"/>
  <c r="M84" i="44" s="1"/>
  <c r="AT81" i="44"/>
  <c r="AQ81" i="44" s="1"/>
  <c r="AJ53" i="44"/>
  <c r="AI53" i="44" s="1"/>
  <c r="AJ72" i="44"/>
  <c r="AG72" i="44" s="1"/>
  <c r="AJ75" i="44"/>
  <c r="AG75" i="44" s="1"/>
  <c r="L40" i="44"/>
  <c r="P105" i="44" s="1"/>
  <c r="P63" i="44"/>
  <c r="O63" i="44" s="1"/>
  <c r="AT73" i="44"/>
  <c r="AQ73" i="44" s="1"/>
  <c r="V40" i="44"/>
  <c r="Z102" i="44" s="1"/>
  <c r="AJ60" i="44"/>
  <c r="E56" i="44"/>
  <c r="AJ71" i="44"/>
  <c r="AG71" i="44" s="1"/>
  <c r="AT44" i="44"/>
  <c r="AS44" i="44" s="1"/>
  <c r="AT60" i="44"/>
  <c r="AS60" i="44" s="1"/>
  <c r="AJ88" i="44"/>
  <c r="AG88" i="44" s="1"/>
  <c r="V73" i="44"/>
  <c r="P55" i="44"/>
  <c r="M55" i="44" s="1"/>
  <c r="AJ62" i="44"/>
  <c r="AG62" i="44" s="1"/>
  <c r="X54" i="44"/>
  <c r="X56" i="44"/>
  <c r="AT89" i="44"/>
  <c r="AQ89" i="44" s="1"/>
  <c r="C58" i="44"/>
  <c r="AJ81" i="44"/>
  <c r="AG81" i="44" s="1"/>
  <c r="P60" i="44"/>
  <c r="M60" i="44" s="1"/>
  <c r="X52" i="44"/>
  <c r="AT49" i="44"/>
  <c r="AQ49" i="44" s="1"/>
  <c r="V54" i="44"/>
  <c r="AJ82" i="44"/>
  <c r="AG82" i="44" s="1"/>
  <c r="P44" i="44"/>
  <c r="M44" i="44" s="1"/>
  <c r="AP40" i="44"/>
  <c r="AT105" i="44" s="1"/>
  <c r="P79" i="44"/>
  <c r="M79" i="44" s="1"/>
  <c r="V76" i="44"/>
  <c r="AJ83" i="44"/>
  <c r="AG83" i="44" s="1"/>
  <c r="V52" i="44"/>
  <c r="AJ79" i="44"/>
  <c r="AG79" i="44" s="1"/>
  <c r="AT66" i="44"/>
  <c r="AQ66" i="44" s="1"/>
  <c r="AJ78" i="44"/>
  <c r="AG78" i="44" s="1"/>
  <c r="V47" i="44"/>
  <c r="P54" i="44"/>
  <c r="M54" i="44" s="1"/>
  <c r="AJ54" i="44"/>
  <c r="AG54" i="44" s="1"/>
  <c r="AJ46" i="44"/>
  <c r="AG46" i="44" s="1"/>
  <c r="V72" i="44"/>
  <c r="V85" i="44"/>
  <c r="AT64" i="44"/>
  <c r="AS64" i="44" s="1"/>
  <c r="E67" i="44"/>
  <c r="P47" i="44"/>
  <c r="M47" i="44" s="1"/>
  <c r="AJ52" i="44"/>
  <c r="AI52" i="44" s="1"/>
  <c r="AJ58" i="44"/>
  <c r="AG58" i="44" s="1"/>
  <c r="P72" i="44"/>
  <c r="M72" i="44" s="1"/>
  <c r="V77" i="44"/>
  <c r="AT77" i="44"/>
  <c r="AQ77" i="44" s="1"/>
  <c r="AJ63" i="44"/>
  <c r="AI63" i="44" s="1"/>
  <c r="X49" i="44"/>
  <c r="F105" i="44"/>
  <c r="Z67" i="44"/>
  <c r="W67" i="44" s="1"/>
  <c r="Z95" i="44"/>
  <c r="W95" i="44" s="1"/>
  <c r="P75" i="44"/>
  <c r="M75" i="44" s="1"/>
  <c r="Z85" i="44"/>
  <c r="Z45" i="44"/>
  <c r="Y45" i="44" s="1"/>
  <c r="AT71" i="44"/>
  <c r="AQ71" i="44" s="1"/>
  <c r="Z91" i="44"/>
  <c r="W91" i="44" s="1"/>
  <c r="AT43" i="44"/>
  <c r="AS43" i="44" s="1"/>
  <c r="P76" i="44"/>
  <c r="M76" i="44" s="1"/>
  <c r="P61" i="44"/>
  <c r="M61" i="44" s="1"/>
  <c r="C52" i="44"/>
  <c r="P58" i="44"/>
  <c r="AT85" i="44"/>
  <c r="AQ85" i="44" s="1"/>
  <c r="AT55" i="44"/>
  <c r="AS55" i="44" s="1"/>
  <c r="Z73" i="44"/>
  <c r="AT91" i="44"/>
  <c r="AQ91" i="44" s="1"/>
  <c r="P53" i="44"/>
  <c r="O53" i="44" s="1"/>
  <c r="P95" i="44"/>
  <c r="M95" i="44" s="1"/>
  <c r="AT52" i="44"/>
  <c r="AS52" i="44" s="1"/>
  <c r="P88" i="44"/>
  <c r="M88" i="44" s="1"/>
  <c r="AJ90" i="44"/>
  <c r="AG90" i="44" s="1"/>
  <c r="AT48" i="44"/>
  <c r="AQ48" i="44" s="1"/>
  <c r="Z59" i="44"/>
  <c r="Y59" i="44" s="1"/>
  <c r="AT79" i="44"/>
  <c r="AQ79" i="44" s="1"/>
  <c r="P62" i="44"/>
  <c r="M62" i="44" s="1"/>
  <c r="AT67" i="44"/>
  <c r="AQ67" i="44" s="1"/>
  <c r="AT51" i="44"/>
  <c r="AQ51" i="44" s="1"/>
  <c r="P56" i="44"/>
  <c r="O56" i="44" s="1"/>
  <c r="AT53" i="44"/>
  <c r="AQ53" i="44" s="1"/>
  <c r="Z55" i="44"/>
  <c r="Y55" i="44" s="1"/>
  <c r="AT63" i="44"/>
  <c r="AS63" i="44" s="1"/>
  <c r="P92" i="44"/>
  <c r="M92" i="44" s="1"/>
  <c r="P83" i="44"/>
  <c r="M83" i="44" s="1"/>
  <c r="Z53" i="44"/>
  <c r="Y53" i="44" s="1"/>
  <c r="AT61" i="44"/>
  <c r="AQ61" i="44" s="1"/>
  <c r="AT65" i="44"/>
  <c r="AS65" i="44" s="1"/>
  <c r="AT82" i="44"/>
  <c r="AQ82" i="44" s="1"/>
  <c r="AT62" i="44"/>
  <c r="AQ62" i="44" s="1"/>
  <c r="AQ99" i="44"/>
  <c r="AS103" i="44" s="1"/>
  <c r="P59" i="44"/>
  <c r="O59" i="44" s="1"/>
  <c r="P65" i="44"/>
  <c r="O65" i="44" s="1"/>
  <c r="P51" i="44"/>
  <c r="O51" i="44" s="1"/>
  <c r="AT95" i="44"/>
  <c r="AQ95" i="44" s="1"/>
  <c r="P50" i="44"/>
  <c r="M50" i="44" s="1"/>
  <c r="P86" i="44"/>
  <c r="M86" i="44" s="1"/>
  <c r="AJ56" i="44"/>
  <c r="AG56" i="44" s="1"/>
  <c r="AT74" i="44"/>
  <c r="AQ74" i="44" s="1"/>
  <c r="Z86" i="44"/>
  <c r="W86" i="44" s="1"/>
  <c r="AT87" i="44"/>
  <c r="AQ87" i="44" s="1"/>
  <c r="P87" i="44"/>
  <c r="M87" i="44" s="1"/>
  <c r="P64" i="44"/>
  <c r="O64" i="44" s="1"/>
  <c r="E103" i="44"/>
  <c r="AT57" i="44"/>
  <c r="AQ57" i="44" s="1"/>
  <c r="AJ85" i="44"/>
  <c r="AG85" i="44" s="1"/>
  <c r="P71" i="44"/>
  <c r="M71" i="44" s="1"/>
  <c r="AT94" i="44"/>
  <c r="AQ94" i="44" s="1"/>
  <c r="AJ80" i="44"/>
  <c r="AG80" i="44" s="1"/>
  <c r="AJ49" i="44"/>
  <c r="AG49" i="44" s="1"/>
  <c r="P80" i="44"/>
  <c r="M80" i="44" s="1"/>
  <c r="Z51" i="44"/>
  <c r="W51" i="44" s="1"/>
  <c r="Z46" i="44"/>
  <c r="Y46" i="44" s="1"/>
  <c r="AT90" i="44"/>
  <c r="AQ90" i="44" s="1"/>
  <c r="P57" i="44"/>
  <c r="M57" i="44" s="1"/>
  <c r="P82" i="44"/>
  <c r="M82" i="44" s="1"/>
  <c r="P77" i="44"/>
  <c r="M77" i="44" s="1"/>
  <c r="AT84" i="44"/>
  <c r="AQ84" i="44" s="1"/>
  <c r="P89" i="44"/>
  <c r="M89" i="44" s="1"/>
  <c r="AT86" i="44"/>
  <c r="AQ86" i="44" s="1"/>
  <c r="AJ57" i="44"/>
  <c r="AG57" i="44" s="1"/>
  <c r="AJ59" i="44"/>
  <c r="AG59" i="44" s="1"/>
  <c r="P94" i="44"/>
  <c r="M94" i="44" s="1"/>
  <c r="Z83" i="44"/>
  <c r="W83" i="44" s="1"/>
  <c r="Z66" i="44"/>
  <c r="W66" i="44" s="1"/>
  <c r="AT76" i="44"/>
  <c r="AQ76" i="44" s="1"/>
  <c r="P67" i="44"/>
  <c r="M67" i="44" s="1"/>
  <c r="C51" i="44"/>
  <c r="P85" i="44"/>
  <c r="M85" i="44" s="1"/>
  <c r="Z81" i="44"/>
  <c r="W81" i="44" s="1"/>
  <c r="AJ73" i="44"/>
  <c r="AG73" i="44" s="1"/>
  <c r="AT93" i="44"/>
  <c r="AQ93" i="44" s="1"/>
  <c r="AJ93" i="44"/>
  <c r="AG93" i="44" s="1"/>
  <c r="AJ91" i="44"/>
  <c r="AG91" i="44" s="1"/>
  <c r="AT72" i="44"/>
  <c r="AQ72" i="44" s="1"/>
  <c r="Z65" i="44"/>
  <c r="Y65" i="44" s="1"/>
  <c r="Z43" i="44"/>
  <c r="W43" i="44" s="1"/>
  <c r="P52" i="44"/>
  <c r="M52" i="44" s="1"/>
  <c r="P93" i="44"/>
  <c r="M93" i="44" s="1"/>
  <c r="E44" i="44"/>
  <c r="Z48" i="44"/>
  <c r="W48" i="44" s="1"/>
  <c r="Z93" i="44"/>
  <c r="W93" i="44" s="1"/>
  <c r="Z87" i="44"/>
  <c r="W87" i="44" s="1"/>
  <c r="C81" i="44"/>
  <c r="Z84" i="44"/>
  <c r="W84" i="44" s="1"/>
  <c r="Z72" i="44"/>
  <c r="W99" i="44"/>
  <c r="Y105" i="44" s="1"/>
  <c r="Z78" i="44"/>
  <c r="W78" i="44" s="1"/>
  <c r="Z94" i="44"/>
  <c r="W94" i="44" s="1"/>
  <c r="Z58" i="44"/>
  <c r="Y58" i="44" s="1"/>
  <c r="E60" i="44"/>
  <c r="E55" i="44"/>
  <c r="Z71" i="44"/>
  <c r="W71" i="44" s="1"/>
  <c r="Z47" i="44"/>
  <c r="Z79" i="44"/>
  <c r="W79" i="44" s="1"/>
  <c r="Z89" i="44"/>
  <c r="W89" i="44" s="1"/>
  <c r="E66" i="44"/>
  <c r="Z61" i="44"/>
  <c r="Y61" i="44" s="1"/>
  <c r="Z63" i="44"/>
  <c r="W63" i="44" s="1"/>
  <c r="AJ55" i="44"/>
  <c r="AG55" i="44" s="1"/>
  <c r="AJ45" i="44"/>
  <c r="AG45" i="44" s="1"/>
  <c r="Z88" i="44"/>
  <c r="W88" i="44" s="1"/>
  <c r="Z44" i="44"/>
  <c r="Y44" i="44" s="1"/>
  <c r="Z90" i="44"/>
  <c r="W90" i="44" s="1"/>
  <c r="Z54" i="44"/>
  <c r="Y54" i="44" s="1"/>
  <c r="E65" i="44"/>
  <c r="AJ61" i="44"/>
  <c r="AI61" i="44" s="1"/>
  <c r="AJ76" i="44"/>
  <c r="AG76" i="44" s="1"/>
  <c r="AJ43" i="44"/>
  <c r="AG43" i="44" s="1"/>
  <c r="AJ48" i="44"/>
  <c r="AI48" i="44" s="1"/>
  <c r="Z56" i="44"/>
  <c r="Z75" i="44"/>
  <c r="W75" i="44" s="1"/>
  <c r="Z62" i="44"/>
  <c r="W62" i="44" s="1"/>
  <c r="Z50" i="44"/>
  <c r="Y50" i="44" s="1"/>
  <c r="P49" i="44"/>
  <c r="M49" i="44" s="1"/>
  <c r="P48" i="44"/>
  <c r="O48" i="44" s="1"/>
  <c r="C64" i="44"/>
  <c r="AJ65" i="44"/>
  <c r="AI65" i="44" s="1"/>
  <c r="Z77" i="44"/>
  <c r="Z74" i="44"/>
  <c r="W74" i="44" s="1"/>
  <c r="Z57" i="44"/>
  <c r="Y57" i="44" s="1"/>
  <c r="M99" i="44"/>
  <c r="O103" i="44" s="1"/>
  <c r="C63" i="44"/>
  <c r="Z76" i="44"/>
  <c r="AJ86" i="44"/>
  <c r="AG86" i="44" s="1"/>
  <c r="AJ50" i="44"/>
  <c r="AG50" i="44" s="1"/>
  <c r="AJ87" i="44"/>
  <c r="AG87" i="44" s="1"/>
  <c r="AJ51" i="44"/>
  <c r="AI51" i="44" s="1"/>
  <c r="AJ92" i="44"/>
  <c r="AG92" i="44" s="1"/>
  <c r="Z80" i="44"/>
  <c r="W80" i="44" s="1"/>
  <c r="Z60" i="44"/>
  <c r="Y60" i="44" s="1"/>
  <c r="AT58" i="44"/>
  <c r="AQ58" i="44" s="1"/>
  <c r="P90" i="44"/>
  <c r="M90" i="44" s="1"/>
  <c r="C46" i="44"/>
  <c r="C61" i="44"/>
  <c r="E50" i="44"/>
  <c r="E43" i="44"/>
  <c r="C56" i="44"/>
  <c r="C49" i="44"/>
  <c r="C54" i="44"/>
  <c r="C44" i="44"/>
  <c r="C57" i="44"/>
  <c r="AQ47" i="44"/>
  <c r="AG60" i="44"/>
  <c r="AI60" i="44"/>
  <c r="AJ102" i="44"/>
  <c r="AJ105" i="44"/>
  <c r="AJ103" i="44"/>
  <c r="AJ104" i="44"/>
  <c r="M58" i="44"/>
  <c r="O58" i="44"/>
  <c r="AS49" i="44"/>
  <c r="AG44" i="44"/>
  <c r="AQ46" i="44"/>
  <c r="AS46" i="44"/>
  <c r="O66" i="44" l="1"/>
  <c r="Y52" i="44"/>
  <c r="Y49" i="44"/>
  <c r="W52" i="44"/>
  <c r="O50" i="44"/>
  <c r="Y51" i="44"/>
  <c r="AQ55" i="44"/>
  <c r="AI47" i="44"/>
  <c r="P102" i="44"/>
  <c r="AG67" i="44"/>
  <c r="P103" i="44"/>
  <c r="O43" i="44"/>
  <c r="AG63" i="44"/>
  <c r="AQ59" i="44"/>
  <c r="W46" i="44"/>
  <c r="AQ54" i="44"/>
  <c r="AI66" i="44"/>
  <c r="AQ45" i="44"/>
  <c r="W53" i="44"/>
  <c r="Y63" i="44"/>
  <c r="W64" i="44"/>
  <c r="AG53" i="44"/>
  <c r="P104" i="44"/>
  <c r="AI64" i="44"/>
  <c r="W72" i="44"/>
  <c r="C96" i="44"/>
  <c r="D103" i="44" s="1"/>
  <c r="AI54" i="44"/>
  <c r="W65" i="44"/>
  <c r="O60" i="44"/>
  <c r="Y67" i="44"/>
  <c r="AI46" i="44"/>
  <c r="AS66" i="44"/>
  <c r="O45" i="44"/>
  <c r="M53" i="44"/>
  <c r="W56" i="44"/>
  <c r="M63" i="44"/>
  <c r="AI62" i="44"/>
  <c r="Z105" i="44"/>
  <c r="AQ56" i="44"/>
  <c r="AS58" i="44"/>
  <c r="W47" i="44"/>
  <c r="AS57" i="44"/>
  <c r="W45" i="44"/>
  <c r="AI57" i="44"/>
  <c r="W59" i="44"/>
  <c r="AQ43" i="44"/>
  <c r="Y103" i="44"/>
  <c r="Z104" i="44"/>
  <c r="O54" i="44"/>
  <c r="Z103" i="44"/>
  <c r="AS50" i="44"/>
  <c r="O57" i="44"/>
  <c r="O47" i="44"/>
  <c r="AI56" i="44"/>
  <c r="AT102" i="44"/>
  <c r="AS48" i="44"/>
  <c r="AQ44" i="44"/>
  <c r="O44" i="44"/>
  <c r="W77" i="44"/>
  <c r="AS62" i="44"/>
  <c r="M51" i="44"/>
  <c r="AI103" i="44"/>
  <c r="W61" i="44"/>
  <c r="AQ52" i="44"/>
  <c r="W85" i="44"/>
  <c r="Y43" i="44"/>
  <c r="AQ65" i="44"/>
  <c r="M64" i="44"/>
  <c r="J57" i="45"/>
  <c r="I58" i="45"/>
  <c r="K58" i="45"/>
  <c r="M59" i="44"/>
  <c r="W44" i="44"/>
  <c r="AT103" i="44"/>
  <c r="O46" i="44"/>
  <c r="AI59" i="44"/>
  <c r="AS61" i="44"/>
  <c r="AQ60" i="44"/>
  <c r="AT104" i="44"/>
  <c r="AG52" i="44"/>
  <c r="W76" i="44"/>
  <c r="B173" i="44"/>
  <c r="E68" i="44"/>
  <c r="D104" i="44" s="1"/>
  <c r="AI49" i="44"/>
  <c r="O61" i="44"/>
  <c r="Y56" i="44"/>
  <c r="Y47" i="44"/>
  <c r="AI58" i="44"/>
  <c r="W57" i="44"/>
  <c r="O55" i="44"/>
  <c r="AS105" i="44"/>
  <c r="W73" i="44"/>
  <c r="AS67" i="44"/>
  <c r="AS51" i="44"/>
  <c r="AG48" i="44"/>
  <c r="AQ64" i="44"/>
  <c r="AG61" i="44"/>
  <c r="M48" i="44"/>
  <c r="O49" i="44"/>
  <c r="AG96" i="44"/>
  <c r="AH103" i="44" s="1"/>
  <c r="O67" i="44"/>
  <c r="AS53" i="44"/>
  <c r="AI55" i="44"/>
  <c r="Y48" i="44"/>
  <c r="M56" i="44"/>
  <c r="Y66" i="44"/>
  <c r="W55" i="44"/>
  <c r="W50" i="44"/>
  <c r="M65" i="44"/>
  <c r="AG51" i="44"/>
  <c r="O62" i="44"/>
  <c r="AI50" i="44"/>
  <c r="Y62" i="44"/>
  <c r="W60" i="44"/>
  <c r="AQ63" i="44"/>
  <c r="O52" i="44"/>
  <c r="M96" i="44"/>
  <c r="N103" i="44" s="1"/>
  <c r="AQ96" i="44"/>
  <c r="AR103" i="44" s="1"/>
  <c r="W54" i="44"/>
  <c r="O105" i="44"/>
  <c r="AI43" i="44"/>
  <c r="W58" i="44"/>
  <c r="AG65" i="44"/>
  <c r="AI45" i="44"/>
  <c r="C68" i="44"/>
  <c r="D102" i="44" s="1"/>
  <c r="C108" i="44" s="1"/>
  <c r="G3" i="45" s="1"/>
  <c r="G27" i="45" s="1"/>
  <c r="G10" i="45" s="1"/>
  <c r="M108" i="44" l="1"/>
  <c r="I3" i="45" s="1"/>
  <c r="I27" i="45" s="1"/>
  <c r="I10" i="45" s="1"/>
  <c r="W96" i="44"/>
  <c r="X105" i="44" s="1"/>
  <c r="D105" i="44"/>
  <c r="AS68" i="44"/>
  <c r="AR104" i="44" s="1"/>
  <c r="O68" i="44"/>
  <c r="N104" i="44" s="1"/>
  <c r="AQ68" i="44"/>
  <c r="AR102" i="44" s="1"/>
  <c r="AQ108" i="44" s="1"/>
  <c r="O3" i="45" s="1"/>
  <c r="O4" i="45" s="1"/>
  <c r="O11" i="45" s="1"/>
  <c r="O12" i="45" s="1"/>
  <c r="AH105" i="44"/>
  <c r="AG108" i="44" s="1"/>
  <c r="M3" i="45" s="1"/>
  <c r="M4" i="45" s="1"/>
  <c r="M11" i="45" s="1"/>
  <c r="M12" i="45" s="1"/>
  <c r="J58" i="45"/>
  <c r="I59" i="45"/>
  <c r="K59" i="45"/>
  <c r="Y68" i="44"/>
  <c r="X104" i="44" s="1"/>
  <c r="W108" i="44" s="1"/>
  <c r="K3" i="45" s="1"/>
  <c r="AH11" i="42" s="1"/>
  <c r="AH14" i="42" s="1"/>
  <c r="AH10" i="42" s="1"/>
  <c r="U13" i="42" s="1"/>
  <c r="B174" i="44"/>
  <c r="AI68" i="44"/>
  <c r="AH104" i="44" s="1"/>
  <c r="W68" i="44"/>
  <c r="X102" i="44" s="1"/>
  <c r="AR105" i="44"/>
  <c r="M68" i="44"/>
  <c r="N102" i="44" s="1"/>
  <c r="AG68" i="44"/>
  <c r="AH102" i="44" s="1"/>
  <c r="N105" i="44"/>
  <c r="AD11" i="42"/>
  <c r="C118" i="44" s="1"/>
  <c r="F119" i="44" s="1"/>
  <c r="G8" i="45"/>
  <c r="G9" i="45" s="1"/>
  <c r="G4" i="45"/>
  <c r="G11" i="45" s="1"/>
  <c r="G12" i="45" s="1"/>
  <c r="G13" i="45" s="1"/>
  <c r="G14" i="45" s="1"/>
  <c r="G7" i="45" s="1"/>
  <c r="G35" i="45" s="1"/>
  <c r="X103" i="44"/>
  <c r="AF11" i="42"/>
  <c r="AF14" i="42" s="1"/>
  <c r="AF10" i="42" s="1"/>
  <c r="U12" i="42" s="1"/>
  <c r="I8" i="45" l="1"/>
  <c r="I9" i="45" s="1"/>
  <c r="I4" i="45"/>
  <c r="I11" i="45" s="1"/>
  <c r="I12" i="45" s="1"/>
  <c r="I13" i="45" s="1"/>
  <c r="I14" i="45" s="1"/>
  <c r="AL11" i="42"/>
  <c r="V16" i="42" s="1"/>
  <c r="AJ11" i="42"/>
  <c r="AJ14" i="42" s="1"/>
  <c r="AJ10" i="42" s="1"/>
  <c r="U14" i="42" s="1"/>
  <c r="O27" i="45"/>
  <c r="O8" i="45" s="1"/>
  <c r="O9" i="45" s="1"/>
  <c r="M27" i="45"/>
  <c r="M8" i="45" s="1"/>
  <c r="S23" i="42"/>
  <c r="I60" i="45"/>
  <c r="J59" i="45"/>
  <c r="K60" i="45"/>
  <c r="AD14" i="42"/>
  <c r="AD10" i="42" s="1"/>
  <c r="U11" i="42" s="1"/>
  <c r="F120" i="44"/>
  <c r="F121" i="44" s="1"/>
  <c r="C174" i="44" s="1"/>
  <c r="E174" i="44" s="1"/>
  <c r="D174" i="44"/>
  <c r="F174" i="44"/>
  <c r="B175" i="44"/>
  <c r="G6" i="45"/>
  <c r="G34" i="45" s="1"/>
  <c r="K23" i="42"/>
  <c r="O13" i="45"/>
  <c r="O14" i="45" s="1"/>
  <c r="I6" i="45"/>
  <c r="I7" i="45"/>
  <c r="I35" i="45" s="1"/>
  <c r="K27" i="45"/>
  <c r="K4" i="45"/>
  <c r="K11" i="45" s="1"/>
  <c r="K12" i="45" s="1"/>
  <c r="M10" i="45"/>
  <c r="M13" i="45"/>
  <c r="M14" i="45" s="1"/>
  <c r="O10" i="45" l="1"/>
  <c r="AL14" i="42"/>
  <c r="AL10" i="42" s="1"/>
  <c r="U15" i="42" s="1"/>
  <c r="I61" i="45"/>
  <c r="J61" i="45" s="1"/>
  <c r="K61" i="45"/>
  <c r="J60" i="45"/>
  <c r="B176" i="44"/>
  <c r="C175" i="44"/>
  <c r="C125" i="44"/>
  <c r="D125" i="44" s="1"/>
  <c r="C126" i="44"/>
  <c r="D126" i="44" s="1"/>
  <c r="C128" i="44"/>
  <c r="D128" i="44" s="1"/>
  <c r="C127" i="44"/>
  <c r="D127" i="44" s="1"/>
  <c r="C129" i="44"/>
  <c r="D129" i="44" s="1"/>
  <c r="C130" i="44"/>
  <c r="D130" i="44" s="1"/>
  <c r="C131" i="44"/>
  <c r="D131" i="44" s="1"/>
  <c r="C132" i="44"/>
  <c r="D132" i="44" s="1"/>
  <c r="C133" i="44"/>
  <c r="D133" i="44" s="1"/>
  <c r="C134" i="44"/>
  <c r="D134" i="44" s="1"/>
  <c r="C135" i="44"/>
  <c r="D135" i="44" s="1"/>
  <c r="C136" i="44"/>
  <c r="D136" i="44" s="1"/>
  <c r="C137" i="44"/>
  <c r="D137" i="44" s="1"/>
  <c r="C138" i="44"/>
  <c r="D138" i="44" s="1"/>
  <c r="C139" i="44"/>
  <c r="D139" i="44" s="1"/>
  <c r="C140" i="44"/>
  <c r="D140" i="44" s="1"/>
  <c r="C141" i="44"/>
  <c r="D141" i="44" s="1"/>
  <c r="C142" i="44"/>
  <c r="D142" i="44" s="1"/>
  <c r="C143" i="44"/>
  <c r="D143" i="44" s="1"/>
  <c r="C144" i="44"/>
  <c r="D144" i="44" s="1"/>
  <c r="C145" i="44"/>
  <c r="D145" i="44" s="1"/>
  <c r="C146" i="44"/>
  <c r="D146" i="44" s="1"/>
  <c r="C147" i="44"/>
  <c r="D147" i="44" s="1"/>
  <c r="C148" i="44"/>
  <c r="D148" i="44" s="1"/>
  <c r="C149" i="44"/>
  <c r="D149" i="44" s="1"/>
  <c r="C150" i="44"/>
  <c r="D150" i="44" s="1"/>
  <c r="C151" i="44"/>
  <c r="D151" i="44" s="1"/>
  <c r="C152" i="44"/>
  <c r="D152" i="44" s="1"/>
  <c r="C153" i="44"/>
  <c r="D153" i="44" s="1"/>
  <c r="C154" i="44"/>
  <c r="D154" i="44" s="1"/>
  <c r="C155" i="44"/>
  <c r="D155" i="44" s="1"/>
  <c r="C156" i="44"/>
  <c r="D156" i="44" s="1"/>
  <c r="C157" i="44"/>
  <c r="D157" i="44" s="1"/>
  <c r="C158" i="44"/>
  <c r="D158" i="44" s="1"/>
  <c r="C159" i="44"/>
  <c r="D159" i="44" s="1"/>
  <c r="C160" i="44"/>
  <c r="D160" i="44" s="1"/>
  <c r="C161" i="44"/>
  <c r="D161" i="44" s="1"/>
  <c r="C162" i="44"/>
  <c r="D162" i="44" s="1"/>
  <c r="C163" i="44"/>
  <c r="D163" i="44" s="1"/>
  <c r="C164" i="44"/>
  <c r="D164" i="44" s="1"/>
  <c r="C165" i="44"/>
  <c r="D165" i="44" s="1"/>
  <c r="C166" i="44"/>
  <c r="D166" i="44" s="1"/>
  <c r="C167" i="44"/>
  <c r="D167" i="44" s="1"/>
  <c r="C168" i="44"/>
  <c r="D168" i="44" s="1"/>
  <c r="C169" i="44"/>
  <c r="D169" i="44" s="1"/>
  <c r="C170" i="44"/>
  <c r="D170" i="44" s="1"/>
  <c r="C171" i="44"/>
  <c r="D171" i="44" s="1"/>
  <c r="C172" i="44"/>
  <c r="D172" i="44" s="1"/>
  <c r="C173" i="44"/>
  <c r="D173" i="44" s="1"/>
  <c r="G5" i="45"/>
  <c r="G32" i="45" s="1"/>
  <c r="G33" i="45" s="1"/>
  <c r="C38" i="45" s="1"/>
  <c r="F175" i="44"/>
  <c r="M9" i="45"/>
  <c r="AJ9" i="42" s="1"/>
  <c r="V14" i="42" s="1"/>
  <c r="K10" i="45"/>
  <c r="K8" i="45"/>
  <c r="K9" i="45" s="1"/>
  <c r="K13" i="45"/>
  <c r="K14" i="45" s="1"/>
  <c r="I34" i="45"/>
  <c r="I5" i="45"/>
  <c r="I32" i="45" s="1"/>
  <c r="I33" i="45" s="1"/>
  <c r="M6" i="45"/>
  <c r="M7" i="45"/>
  <c r="M35" i="45" s="1"/>
  <c r="O7" i="45"/>
  <c r="O35" i="45" s="1"/>
  <c r="O6" i="45"/>
  <c r="AD9" i="42"/>
  <c r="V11" i="42" s="1"/>
  <c r="E175" i="44" l="1"/>
  <c r="D175" i="44"/>
  <c r="E148" i="44"/>
  <c r="F148" i="44"/>
  <c r="E166" i="44"/>
  <c r="F166" i="44"/>
  <c r="F162" i="44"/>
  <c r="E162" i="44"/>
  <c r="F150" i="44"/>
  <c r="E150" i="44"/>
  <c r="E149" i="44"/>
  <c r="F149" i="44"/>
  <c r="F164" i="44"/>
  <c r="E164" i="44"/>
  <c r="F145" i="44"/>
  <c r="E145" i="44"/>
  <c r="F127" i="44"/>
  <c r="E127" i="44"/>
  <c r="E133" i="44"/>
  <c r="F133" i="44"/>
  <c r="E161" i="44"/>
  <c r="F161" i="44"/>
  <c r="F128" i="44"/>
  <c r="E128" i="44"/>
  <c r="F147" i="44"/>
  <c r="E147" i="44"/>
  <c r="F130" i="44"/>
  <c r="E130" i="44"/>
  <c r="E126" i="44"/>
  <c r="F126" i="44"/>
  <c r="F163" i="44"/>
  <c r="E163" i="44"/>
  <c r="F131" i="44"/>
  <c r="E131" i="44"/>
  <c r="F146" i="44"/>
  <c r="E146" i="44"/>
  <c r="F129" i="44"/>
  <c r="E129" i="44"/>
  <c r="F160" i="44"/>
  <c r="E160" i="44"/>
  <c r="F143" i="44"/>
  <c r="E143" i="44"/>
  <c r="E157" i="44"/>
  <c r="F157" i="44"/>
  <c r="E141" i="44"/>
  <c r="F141" i="44"/>
  <c r="F125" i="44"/>
  <c r="E125" i="44"/>
  <c r="F134" i="44"/>
  <c r="E134" i="44"/>
  <c r="F144" i="44"/>
  <c r="E144" i="44"/>
  <c r="F159" i="44"/>
  <c r="E159" i="44"/>
  <c r="F158" i="44"/>
  <c r="E158" i="44"/>
  <c r="F173" i="44"/>
  <c r="E173" i="44"/>
  <c r="F172" i="44"/>
  <c r="E172" i="44"/>
  <c r="F156" i="44"/>
  <c r="E156" i="44"/>
  <c r="F140" i="44"/>
  <c r="E140" i="44"/>
  <c r="E132" i="44"/>
  <c r="F132" i="44"/>
  <c r="F142" i="44"/>
  <c r="E142" i="44"/>
  <c r="F171" i="44"/>
  <c r="E171" i="44"/>
  <c r="F155" i="44"/>
  <c r="E155" i="44"/>
  <c r="E139" i="44"/>
  <c r="F139" i="44"/>
  <c r="F138" i="44"/>
  <c r="E138" i="44"/>
  <c r="E170" i="44"/>
  <c r="F170" i="44"/>
  <c r="F154" i="44"/>
  <c r="E154" i="44"/>
  <c r="E169" i="44"/>
  <c r="F169" i="44"/>
  <c r="E153" i="44"/>
  <c r="F153" i="44"/>
  <c r="E137" i="44"/>
  <c r="F137" i="44"/>
  <c r="E165" i="44"/>
  <c r="F165" i="44"/>
  <c r="E168" i="44"/>
  <c r="F168" i="44"/>
  <c r="F152" i="44"/>
  <c r="E152" i="44"/>
  <c r="F136" i="44"/>
  <c r="E136" i="44"/>
  <c r="F167" i="44"/>
  <c r="E167" i="44"/>
  <c r="F151" i="44"/>
  <c r="E151" i="44"/>
  <c r="E135" i="44"/>
  <c r="F135" i="44"/>
  <c r="AD8" i="42"/>
  <c r="AD12" i="42" s="1"/>
  <c r="C34" i="45"/>
  <c r="C43" i="45"/>
  <c r="K37" i="45" s="1"/>
  <c r="C35" i="45"/>
  <c r="C42" i="45"/>
  <c r="C40" i="45"/>
  <c r="C39" i="45"/>
  <c r="C37" i="45"/>
  <c r="C36" i="45"/>
  <c r="C41" i="45"/>
  <c r="C176" i="44"/>
  <c r="D176" i="44" s="1"/>
  <c r="B177" i="44"/>
  <c r="AH9" i="42"/>
  <c r="V13" i="42" s="1"/>
  <c r="E35" i="45"/>
  <c r="E34" i="45"/>
  <c r="E41" i="45"/>
  <c r="E40" i="45"/>
  <c r="E38" i="45"/>
  <c r="E36" i="45"/>
  <c r="E43" i="45"/>
  <c r="E42" i="45"/>
  <c r="E39" i="45"/>
  <c r="E37" i="45"/>
  <c r="K7" i="45"/>
  <c r="K35" i="45" s="1"/>
  <c r="K6" i="45"/>
  <c r="O34" i="45"/>
  <c r="O5" i="45"/>
  <c r="O32" i="45" s="1"/>
  <c r="O33" i="45" s="1"/>
  <c r="M34" i="45"/>
  <c r="M5" i="45"/>
  <c r="AF9" i="42"/>
  <c r="V12" i="42" s="1"/>
  <c r="AL9" i="42"/>
  <c r="V15" i="42" s="1"/>
  <c r="AF8" i="42"/>
  <c r="AD13" i="42" l="1"/>
  <c r="T11" i="42"/>
  <c r="F176" i="44"/>
  <c r="E176" i="44"/>
  <c r="I36" i="45"/>
  <c r="G36" i="45"/>
  <c r="G37" i="45"/>
  <c r="O37" i="45"/>
  <c r="M37" i="45"/>
  <c r="I37" i="45"/>
  <c r="M36" i="45"/>
  <c r="O36" i="45"/>
  <c r="C177" i="44"/>
  <c r="D177" i="44" s="1"/>
  <c r="B178" i="44"/>
  <c r="E177" i="44"/>
  <c r="F177" i="44"/>
  <c r="M32" i="45"/>
  <c r="M33" i="45" s="1"/>
  <c r="AJ8" i="42"/>
  <c r="K34" i="45"/>
  <c r="K36" i="45" s="1"/>
  <c r="K5" i="45"/>
  <c r="AF12" i="42"/>
  <c r="T12" i="42"/>
  <c r="AF13" i="42"/>
  <c r="AL8" i="42"/>
  <c r="B179" i="44" l="1"/>
  <c r="C178" i="44"/>
  <c r="D178" i="44" s="1"/>
  <c r="E178" i="44"/>
  <c r="F178" i="44"/>
  <c r="K32" i="45"/>
  <c r="K33" i="45" s="1"/>
  <c r="AH8" i="42"/>
  <c r="AJ12" i="42"/>
  <c r="T14" i="42"/>
  <c r="AJ13" i="42"/>
  <c r="T15" i="42"/>
  <c r="AL12" i="42"/>
  <c r="AL13" i="42"/>
  <c r="C179" i="44" l="1"/>
  <c r="D179" i="44" s="1"/>
  <c r="B180" i="44"/>
  <c r="F179" i="44"/>
  <c r="E179" i="44"/>
  <c r="AH13" i="42"/>
  <c r="AH12" i="42"/>
  <c r="T13" i="42"/>
  <c r="C180" i="44" l="1"/>
  <c r="D180" i="44" s="1"/>
  <c r="B181" i="44"/>
  <c r="E180" i="44"/>
  <c r="F180" i="44"/>
  <c r="B182" i="44" l="1"/>
  <c r="C181" i="44"/>
  <c r="D181" i="44" s="1"/>
  <c r="F181" i="44"/>
  <c r="E181" i="44"/>
  <c r="C182" i="44" l="1"/>
  <c r="D182" i="44" s="1"/>
  <c r="B183" i="44"/>
  <c r="F182" i="44"/>
  <c r="E182" i="44"/>
  <c r="C183" i="44" l="1"/>
  <c r="D183" i="44" s="1"/>
  <c r="B184" i="44"/>
  <c r="E183" i="44"/>
  <c r="F183" i="44"/>
  <c r="B185" i="44" l="1"/>
  <c r="C184" i="44"/>
  <c r="D184" i="44" s="1"/>
  <c r="E184" i="44"/>
  <c r="F184" i="44"/>
  <c r="C185" i="44" l="1"/>
  <c r="D185" i="44" s="1"/>
  <c r="B186" i="44"/>
  <c r="E185" i="44"/>
  <c r="F185" i="44"/>
  <c r="C186" i="44" l="1"/>
  <c r="D186" i="44" s="1"/>
  <c r="B187" i="44"/>
  <c r="F186" i="44"/>
  <c r="E186" i="44"/>
  <c r="C187" i="44" l="1"/>
  <c r="D187" i="44" s="1"/>
  <c r="B188" i="44"/>
  <c r="F187" i="44"/>
  <c r="E187" i="44"/>
  <c r="C188" i="44" l="1"/>
  <c r="D188" i="44" s="1"/>
  <c r="B189" i="44"/>
  <c r="E188" i="44"/>
  <c r="F188" i="44"/>
  <c r="C189" i="44" l="1"/>
  <c r="D189" i="44" s="1"/>
  <c r="B190" i="44"/>
  <c r="E189" i="44"/>
  <c r="F189" i="44"/>
  <c r="C190" i="44" l="1"/>
  <c r="D190" i="44" s="1"/>
  <c r="B191" i="44"/>
  <c r="F190" i="44"/>
  <c r="E190" i="44"/>
  <c r="B192" i="44" l="1"/>
  <c r="C191" i="44"/>
  <c r="D191" i="44" s="1"/>
  <c r="F191" i="44"/>
  <c r="E191" i="44"/>
  <c r="C192" i="44" l="1"/>
  <c r="D192" i="44" s="1"/>
  <c r="B193" i="44"/>
  <c r="E192" i="44"/>
  <c r="F192" i="44"/>
  <c r="C193" i="44" l="1"/>
  <c r="D193" i="44" s="1"/>
  <c r="B194" i="44"/>
  <c r="E193" i="44"/>
  <c r="F193" i="44"/>
  <c r="B195" i="44" l="1"/>
  <c r="C194" i="44"/>
  <c r="D194" i="44" s="1"/>
  <c r="F194" i="44"/>
  <c r="E194" i="44"/>
  <c r="C195" i="44" l="1"/>
  <c r="D195" i="44" s="1"/>
  <c r="B196" i="44"/>
  <c r="F195" i="44"/>
  <c r="E195" i="44"/>
  <c r="C196" i="44" l="1"/>
  <c r="D196" i="44" s="1"/>
  <c r="B197" i="44"/>
  <c r="F196" i="44"/>
  <c r="E196" i="44"/>
  <c r="B198" i="44" l="1"/>
  <c r="C197" i="44"/>
  <c r="D197" i="44" s="1"/>
  <c r="E197" i="44"/>
  <c r="F197" i="44"/>
  <c r="C198" i="44" l="1"/>
  <c r="D198" i="44" s="1"/>
  <c r="B199" i="44"/>
  <c r="F198" i="44"/>
  <c r="E198" i="44"/>
  <c r="B200" i="44" l="1"/>
  <c r="C199" i="44"/>
  <c r="D199" i="44" s="1"/>
  <c r="F199" i="44"/>
  <c r="E199" i="44"/>
  <c r="B201" i="44" l="1"/>
  <c r="C200" i="44"/>
  <c r="D200" i="44" s="1"/>
  <c r="E200" i="44"/>
  <c r="F200" i="44"/>
  <c r="C201" i="44" l="1"/>
  <c r="D201" i="44" s="1"/>
  <c r="B202" i="44"/>
  <c r="F201" i="44"/>
  <c r="E201" i="44"/>
  <c r="C202" i="44" l="1"/>
  <c r="D202" i="44" s="1"/>
  <c r="B203" i="44"/>
  <c r="E202" i="44"/>
  <c r="F202" i="44"/>
  <c r="C203" i="44" l="1"/>
  <c r="D203" i="44" s="1"/>
  <c r="B204" i="44"/>
  <c r="F203" i="44"/>
  <c r="E203" i="44"/>
  <c r="C204" i="44" l="1"/>
  <c r="D204" i="44" s="1"/>
  <c r="B205" i="44"/>
  <c r="E204" i="44"/>
  <c r="F204" i="44"/>
  <c r="C205" i="44" l="1"/>
  <c r="D205" i="44" s="1"/>
  <c r="B206" i="44"/>
  <c r="F205" i="44"/>
  <c r="E205" i="44"/>
  <c r="B207" i="44" l="1"/>
  <c r="C206" i="44"/>
  <c r="D206" i="44" s="1"/>
  <c r="E206" i="44"/>
  <c r="F206" i="44"/>
  <c r="B208" i="44" l="1"/>
  <c r="C207" i="44"/>
  <c r="D207" i="44" s="1"/>
  <c r="E207" i="44"/>
  <c r="F207" i="44"/>
  <c r="C208" i="44" l="1"/>
  <c r="D208" i="44" s="1"/>
  <c r="B209" i="44"/>
  <c r="E208" i="44"/>
  <c r="F208" i="44"/>
  <c r="C209" i="44" l="1"/>
  <c r="D209" i="44" s="1"/>
  <c r="B210" i="44"/>
  <c r="E209" i="44"/>
  <c r="F209" i="44"/>
  <c r="B211" i="44" l="1"/>
  <c r="C210" i="44"/>
  <c r="D210" i="44" s="1"/>
  <c r="E210" i="44"/>
  <c r="F210" i="44"/>
  <c r="C211" i="44" l="1"/>
  <c r="D211" i="44" s="1"/>
  <c r="B212" i="44"/>
  <c r="F211" i="44"/>
  <c r="E211" i="44"/>
  <c r="C212" i="44" l="1"/>
  <c r="D212" i="44" s="1"/>
  <c r="B213" i="44"/>
  <c r="E212" i="44"/>
  <c r="F212" i="44"/>
  <c r="B214" i="44" l="1"/>
  <c r="C213" i="44"/>
  <c r="D213" i="44" s="1"/>
  <c r="F213" i="44"/>
  <c r="E213" i="44"/>
  <c r="C214" i="44" l="1"/>
  <c r="D214" i="44" s="1"/>
  <c r="B215" i="44"/>
  <c r="F214" i="44"/>
  <c r="E214" i="44"/>
  <c r="B216" i="44" l="1"/>
  <c r="C215" i="44"/>
  <c r="D215" i="44" s="1"/>
  <c r="F215" i="44"/>
  <c r="E215" i="44"/>
  <c r="B217" i="44" l="1"/>
  <c r="C216" i="44"/>
  <c r="D216" i="44" s="1"/>
  <c r="E216" i="44"/>
  <c r="F216" i="44"/>
  <c r="C217" i="44" l="1"/>
  <c r="D217" i="44" s="1"/>
  <c r="B218" i="44"/>
  <c r="F217" i="44"/>
  <c r="E217" i="44"/>
  <c r="C218" i="44" l="1"/>
  <c r="D218" i="44" s="1"/>
  <c r="B219" i="44"/>
  <c r="F218" i="44"/>
  <c r="E218" i="44"/>
  <c r="B220" i="44" l="1"/>
  <c r="C219" i="44"/>
  <c r="D219" i="44" s="1"/>
  <c r="E219" i="44"/>
  <c r="F219" i="44"/>
  <c r="C220" i="44" l="1"/>
  <c r="D220" i="44" s="1"/>
  <c r="B221" i="44"/>
  <c r="E220" i="44"/>
  <c r="F220" i="44"/>
  <c r="C221" i="44" l="1"/>
  <c r="D221" i="44" s="1"/>
  <c r="B222" i="44"/>
  <c r="F221" i="44"/>
  <c r="E221" i="44"/>
  <c r="C222" i="44" l="1"/>
  <c r="D222" i="44" s="1"/>
  <c r="B223" i="44"/>
  <c r="F222" i="44"/>
  <c r="E222" i="44"/>
  <c r="B224" i="44" l="1"/>
  <c r="C223" i="44"/>
  <c r="D223" i="44" s="1"/>
  <c r="E223" i="44"/>
  <c r="F223" i="44"/>
  <c r="C224" i="44" l="1"/>
  <c r="D224" i="44" s="1"/>
  <c r="B225" i="44"/>
  <c r="F224" i="44"/>
  <c r="E224" i="44"/>
  <c r="C225" i="44" l="1"/>
  <c r="D225" i="44" s="1"/>
  <c r="B226" i="44"/>
  <c r="F225" i="44"/>
  <c r="E225" i="44"/>
  <c r="B227" i="44" l="1"/>
  <c r="C226" i="44"/>
  <c r="F226" i="44"/>
  <c r="E226" i="44" l="1"/>
  <c r="D226" i="44"/>
  <c r="C227" i="44"/>
  <c r="D227" i="44" s="1"/>
  <c r="B228" i="44"/>
  <c r="E227" i="44" l="1"/>
  <c r="F227" i="44"/>
  <c r="C228" i="44"/>
  <c r="D228" i="44" s="1"/>
  <c r="B229" i="44"/>
  <c r="E228" i="44" l="1"/>
  <c r="F228" i="44"/>
  <c r="B230" i="44"/>
  <c r="C229" i="44"/>
  <c r="D229" i="44" s="1"/>
  <c r="F229" i="44" l="1"/>
  <c r="E229" i="44"/>
  <c r="C230" i="44"/>
  <c r="F230" i="44" s="1"/>
  <c r="B231" i="44"/>
  <c r="E230" i="44" l="1"/>
  <c r="D230" i="44"/>
  <c r="C231" i="44"/>
  <c r="B232" i="44"/>
  <c r="F231" i="44" l="1"/>
  <c r="D231" i="44"/>
  <c r="E231" i="44"/>
  <c r="B233" i="44"/>
  <c r="C232" i="44"/>
  <c r="E232" i="44" s="1"/>
  <c r="F232" i="44" l="1"/>
  <c r="D232" i="44"/>
  <c r="C233" i="44"/>
  <c r="D233" i="44" s="1"/>
  <c r="B234" i="44"/>
  <c r="F233" i="44" l="1"/>
  <c r="E233" i="44"/>
  <c r="C234" i="44"/>
  <c r="E234" i="44" s="1"/>
  <c r="B235" i="44"/>
  <c r="F234" i="44" l="1"/>
  <c r="D234" i="44"/>
  <c r="C235" i="44"/>
  <c r="D235" i="44" s="1"/>
  <c r="B236" i="44"/>
  <c r="E235" i="44" l="1"/>
  <c r="F235" i="44"/>
  <c r="C236" i="44"/>
  <c r="D236" i="44" s="1"/>
  <c r="B237" i="44"/>
  <c r="E236" i="44" l="1"/>
  <c r="F236" i="44"/>
  <c r="C237" i="44"/>
  <c r="D237" i="44" s="1"/>
  <c r="B238" i="44"/>
  <c r="F237" i="44" l="1"/>
  <c r="E237" i="44"/>
  <c r="C238" i="44"/>
  <c r="D238" i="44" s="1"/>
  <c r="B239" i="44"/>
  <c r="E238" i="44" l="1"/>
  <c r="F238" i="44"/>
  <c r="B240" i="44"/>
  <c r="C239" i="44"/>
  <c r="D239" i="44" s="1"/>
  <c r="F239" i="44" l="1"/>
  <c r="E239" i="44"/>
  <c r="C240" i="44"/>
  <c r="D240" i="44" s="1"/>
  <c r="B241" i="44"/>
  <c r="E240" i="44" l="1"/>
  <c r="F240" i="44"/>
  <c r="B242" i="44"/>
  <c r="C241" i="44"/>
  <c r="D241" i="44" s="1"/>
  <c r="F241" i="44"/>
  <c r="E241" i="44" l="1"/>
  <c r="B243" i="44"/>
  <c r="C242" i="44"/>
  <c r="D242" i="44" s="1"/>
  <c r="F242" i="44"/>
  <c r="E242" i="44" l="1"/>
  <c r="C243" i="44"/>
  <c r="D243" i="44" s="1"/>
  <c r="B244" i="44"/>
  <c r="E243" i="44"/>
  <c r="F243" i="44" l="1"/>
  <c r="C244" i="44"/>
  <c r="D244" i="44" s="1"/>
  <c r="B245" i="44"/>
  <c r="E244" i="44" l="1"/>
  <c r="F244" i="44"/>
  <c r="B246" i="44"/>
  <c r="C245" i="44"/>
  <c r="F245" i="44" l="1"/>
  <c r="D245" i="44"/>
  <c r="E245" i="44"/>
  <c r="C246" i="44"/>
  <c r="B247" i="44"/>
  <c r="F246" i="44" l="1"/>
  <c r="D246" i="44"/>
  <c r="E246" i="44"/>
  <c r="B248" i="44"/>
  <c r="C247" i="44"/>
  <c r="F247" i="44" s="1"/>
  <c r="E247" i="44" l="1"/>
  <c r="D247" i="44"/>
  <c r="B249" i="44"/>
  <c r="C248" i="44"/>
  <c r="E248" i="44" s="1"/>
  <c r="F248" i="44" l="1"/>
  <c r="D248" i="44"/>
  <c r="C249" i="44"/>
  <c r="D249" i="44" s="1"/>
  <c r="B250" i="44"/>
  <c r="E249" i="44" l="1"/>
  <c r="F249" i="44"/>
  <c r="C250" i="44"/>
  <c r="D250" i="44" s="1"/>
  <c r="B251" i="44"/>
  <c r="F250" i="44" l="1"/>
  <c r="E250" i="44"/>
  <c r="B252" i="44"/>
  <c r="C251" i="44"/>
  <c r="E251" i="44" l="1"/>
  <c r="D251" i="44"/>
  <c r="F251" i="44"/>
  <c r="C252" i="44"/>
  <c r="B253" i="44"/>
  <c r="E252" i="44"/>
  <c r="F252" i="44" l="1"/>
  <c r="D252" i="44"/>
  <c r="C253" i="44"/>
  <c r="D253" i="44" s="1"/>
  <c r="B254" i="44"/>
  <c r="F253" i="44" l="1"/>
  <c r="E253" i="44"/>
  <c r="C254" i="44"/>
  <c r="D254" i="44" s="1"/>
  <c r="B255" i="44"/>
  <c r="E254" i="44" l="1"/>
  <c r="F254" i="44"/>
  <c r="B256" i="44"/>
  <c r="C255" i="44"/>
  <c r="F255" i="44" s="1"/>
  <c r="E255" i="44" l="1"/>
  <c r="D255" i="44"/>
  <c r="C256" i="44"/>
  <c r="D256" i="44" s="1"/>
  <c r="B257" i="44"/>
  <c r="E256" i="44" l="1"/>
  <c r="F256" i="44"/>
  <c r="C257" i="44"/>
  <c r="D257" i="44" s="1"/>
  <c r="B258" i="44"/>
  <c r="F257" i="44" l="1"/>
  <c r="E257" i="44"/>
  <c r="B259" i="44"/>
  <c r="C258" i="44"/>
  <c r="F258" i="44" s="1"/>
  <c r="E258" i="44" l="1"/>
  <c r="D258" i="44"/>
  <c r="C259" i="44"/>
  <c r="D259" i="44" s="1"/>
  <c r="B260" i="44"/>
  <c r="E259" i="44" l="1"/>
  <c r="F259" i="44"/>
  <c r="C260" i="44"/>
  <c r="D260" i="44" s="1"/>
  <c r="B261" i="44"/>
  <c r="E260" i="44"/>
  <c r="F260" i="44" l="1"/>
  <c r="B262" i="44"/>
  <c r="C261" i="44"/>
  <c r="E261" i="44" l="1"/>
  <c r="D261" i="44"/>
  <c r="F261" i="44"/>
  <c r="C262" i="44"/>
  <c r="B263" i="44"/>
  <c r="F262" i="44" l="1"/>
  <c r="D262" i="44"/>
  <c r="E262" i="44"/>
  <c r="C263" i="44"/>
  <c r="F263" i="44" s="1"/>
  <c r="B264" i="44"/>
  <c r="E263" i="44" l="1"/>
  <c r="D263" i="44"/>
  <c r="B265" i="44"/>
  <c r="C264" i="44"/>
  <c r="F264" i="44" s="1"/>
  <c r="E264" i="44" l="1"/>
  <c r="D264" i="44"/>
  <c r="C265" i="44"/>
  <c r="D265" i="44" s="1"/>
  <c r="B266" i="44"/>
  <c r="E265" i="44" l="1"/>
  <c r="F265" i="44"/>
  <c r="C266" i="44"/>
  <c r="D266" i="44" s="1"/>
  <c r="B267" i="44"/>
  <c r="F266" i="44" l="1"/>
  <c r="E266" i="44"/>
  <c r="C267" i="44"/>
  <c r="D267" i="44" s="1"/>
  <c r="B268" i="44"/>
  <c r="F267" i="44" l="1"/>
  <c r="E267" i="44"/>
  <c r="C268" i="44"/>
  <c r="D268" i="44" s="1"/>
  <c r="B269" i="44"/>
  <c r="E268" i="44"/>
  <c r="F268" i="44" l="1"/>
  <c r="C269" i="44"/>
  <c r="B270" i="44"/>
  <c r="E269" i="44" l="1"/>
  <c r="D269" i="44"/>
  <c r="F269" i="44"/>
  <c r="C270" i="44"/>
  <c r="D270" i="44" s="1"/>
  <c r="B271" i="44"/>
  <c r="F270" i="44"/>
  <c r="E270" i="44" l="1"/>
  <c r="B272" i="44"/>
  <c r="C271" i="44"/>
  <c r="D271" i="44" s="1"/>
  <c r="E271" i="44"/>
  <c r="F271" i="44" l="1"/>
  <c r="C272" i="44"/>
  <c r="D272" i="44" s="1"/>
  <c r="B273" i="44"/>
  <c r="E272" i="44" l="1"/>
  <c r="F272" i="44"/>
  <c r="C273" i="44"/>
  <c r="D273" i="44" s="1"/>
  <c r="B274" i="44"/>
  <c r="F273" i="44"/>
  <c r="E273" i="44"/>
  <c r="B275" i="44" l="1"/>
  <c r="C274" i="44"/>
  <c r="D274" i="44" s="1"/>
  <c r="E274" i="44"/>
  <c r="F274" i="44"/>
  <c r="C275" i="44" l="1"/>
  <c r="D275" i="44" s="1"/>
  <c r="B276" i="44"/>
  <c r="F275" i="44"/>
  <c r="E275" i="44"/>
  <c r="C276" i="44" l="1"/>
  <c r="D276" i="44" s="1"/>
  <c r="B277" i="44"/>
  <c r="E276" i="44"/>
  <c r="F276" i="44"/>
  <c r="B278" i="44" l="1"/>
  <c r="C277" i="44"/>
  <c r="D277" i="44" s="1"/>
  <c r="E277" i="44"/>
  <c r="F277" i="44"/>
  <c r="C278" i="44" l="1"/>
  <c r="D278" i="44" s="1"/>
  <c r="B279" i="44"/>
  <c r="F278" i="44"/>
  <c r="E278" i="44"/>
  <c r="B280" i="44" l="1"/>
  <c r="C279" i="44"/>
  <c r="F279" i="44" l="1"/>
  <c r="D279" i="44"/>
  <c r="E279" i="44"/>
  <c r="B281" i="44"/>
  <c r="C280" i="44"/>
  <c r="D280" i="44" s="1"/>
  <c r="E280" i="44"/>
  <c r="F280" i="44"/>
  <c r="C281" i="44" l="1"/>
  <c r="D281" i="44" s="1"/>
  <c r="B282" i="44"/>
  <c r="E281" i="44"/>
  <c r="F281" i="44"/>
  <c r="C282" i="44" l="1"/>
  <c r="D282" i="44" s="1"/>
  <c r="B283" i="44"/>
  <c r="E282" i="44"/>
  <c r="F282" i="44"/>
  <c r="C283" i="44" l="1"/>
  <c r="D283" i="44" s="1"/>
  <c r="B284" i="44"/>
  <c r="F283" i="44"/>
  <c r="E283" i="44"/>
  <c r="C284" i="44" l="1"/>
  <c r="D284" i="44" s="1"/>
  <c r="B285" i="44"/>
  <c r="E284" i="44"/>
  <c r="F284" i="44"/>
  <c r="C285" i="44" l="1"/>
  <c r="D285" i="44" s="1"/>
  <c r="B286" i="44"/>
  <c r="F285" i="44"/>
  <c r="E285" i="44"/>
  <c r="B287" i="44" l="1"/>
  <c r="C286" i="44"/>
  <c r="D286" i="44" s="1"/>
  <c r="E286" i="44"/>
  <c r="F286" i="44"/>
  <c r="B288" i="44" l="1"/>
  <c r="C287" i="44"/>
  <c r="D287" i="44" s="1"/>
  <c r="E287" i="44"/>
  <c r="F287" i="44"/>
  <c r="C288" i="44" l="1"/>
  <c r="D288" i="44" s="1"/>
  <c r="B289" i="44"/>
  <c r="F288" i="44"/>
  <c r="E288" i="44"/>
  <c r="C289" i="44" l="1"/>
  <c r="D289" i="44" s="1"/>
  <c r="B290" i="44"/>
  <c r="E289" i="44"/>
  <c r="F289" i="44"/>
  <c r="B291" i="44" l="1"/>
  <c r="C290" i="44"/>
  <c r="E290" i="44" s="1"/>
  <c r="F290" i="44" l="1"/>
  <c r="D290" i="44"/>
  <c r="C291" i="44"/>
  <c r="D291" i="44" s="1"/>
  <c r="B292" i="44"/>
  <c r="F291" i="44" l="1"/>
  <c r="E291" i="44"/>
  <c r="B293" i="44"/>
  <c r="C292" i="44"/>
  <c r="D292" i="44" s="1"/>
  <c r="F292" i="44" l="1"/>
  <c r="E292" i="44"/>
  <c r="B294" i="44"/>
  <c r="C293" i="44"/>
  <c r="D293" i="44" s="1"/>
  <c r="E293" i="44" l="1"/>
  <c r="F293" i="44"/>
  <c r="C294" i="44"/>
  <c r="D294" i="44" s="1"/>
  <c r="B295" i="44"/>
  <c r="E294" i="44" l="1"/>
  <c r="F294" i="44"/>
  <c r="C295" i="44"/>
  <c r="D295" i="44" s="1"/>
  <c r="B296" i="44"/>
  <c r="F295" i="44" l="1"/>
  <c r="E295" i="44"/>
  <c r="B297" i="44"/>
  <c r="C296" i="44"/>
  <c r="D296" i="44" s="1"/>
  <c r="E296" i="44" l="1"/>
  <c r="F296" i="44"/>
  <c r="C297" i="44"/>
  <c r="D297" i="44" s="1"/>
  <c r="B298" i="44"/>
  <c r="F297" i="44"/>
  <c r="E297" i="44" l="1"/>
  <c r="C298" i="44"/>
  <c r="D298" i="44" s="1"/>
  <c r="B299" i="44"/>
  <c r="E298" i="44"/>
  <c r="F298" i="44" l="1"/>
  <c r="C299" i="44"/>
  <c r="D299" i="44" s="1"/>
  <c r="B300" i="44"/>
  <c r="E299" i="44"/>
  <c r="F299" i="44" l="1"/>
  <c r="C300" i="44"/>
  <c r="D300" i="44" s="1"/>
  <c r="B301" i="44"/>
  <c r="E300" i="44" l="1"/>
  <c r="F300" i="44"/>
  <c r="C301" i="44"/>
  <c r="D301" i="44" s="1"/>
  <c r="B302" i="44"/>
  <c r="E301" i="44"/>
  <c r="F301" i="44"/>
  <c r="C302" i="44" l="1"/>
  <c r="D302" i="44" s="1"/>
  <c r="B303" i="44"/>
  <c r="E302" i="44"/>
  <c r="F302" i="44"/>
  <c r="B304" i="44" l="1"/>
  <c r="C303" i="44"/>
  <c r="D303" i="44" s="1"/>
  <c r="E303" i="44"/>
  <c r="F303" i="44"/>
  <c r="C304" i="44" l="1"/>
  <c r="D304" i="44" s="1"/>
  <c r="B305" i="44"/>
  <c r="F304" i="44"/>
  <c r="E304" i="44"/>
  <c r="C305" i="44" l="1"/>
  <c r="D305" i="44" s="1"/>
  <c r="B306" i="44"/>
  <c r="F305" i="44"/>
  <c r="E305" i="44"/>
  <c r="B307" i="44" l="1"/>
  <c r="C306" i="44"/>
  <c r="D306" i="44" s="1"/>
  <c r="E306" i="44"/>
  <c r="F306" i="44"/>
  <c r="C307" i="44" l="1"/>
  <c r="D307" i="44" s="1"/>
  <c r="B308" i="44"/>
  <c r="E307" i="44"/>
  <c r="F307" i="44"/>
  <c r="C308" i="44" l="1"/>
  <c r="D308" i="44" s="1"/>
  <c r="B309" i="44"/>
  <c r="F308" i="44"/>
  <c r="E308" i="44"/>
  <c r="B310" i="44" l="1"/>
  <c r="C309" i="44"/>
  <c r="D309" i="44" s="1"/>
  <c r="F309" i="44"/>
  <c r="E309" i="44"/>
  <c r="B311" i="44" l="1"/>
  <c r="C310" i="44"/>
  <c r="D310" i="44" s="1"/>
  <c r="E310" i="44"/>
  <c r="F310" i="44"/>
  <c r="C311" i="44" l="1"/>
  <c r="D311" i="44" s="1"/>
  <c r="B312" i="44"/>
  <c r="F311" i="44"/>
  <c r="E311" i="44"/>
  <c r="B313" i="44" l="1"/>
  <c r="C312" i="44"/>
  <c r="D312" i="44" s="1"/>
  <c r="E312" i="44"/>
  <c r="F312" i="44"/>
  <c r="C313" i="44" l="1"/>
  <c r="D313" i="44" s="1"/>
  <c r="B314" i="44"/>
  <c r="F313" i="44"/>
  <c r="E313" i="44"/>
  <c r="C314" i="44" l="1"/>
  <c r="D314" i="44" s="1"/>
  <c r="B315" i="44"/>
  <c r="F314" i="44"/>
  <c r="E314" i="44"/>
  <c r="C315" i="44" l="1"/>
  <c r="D315" i="44" s="1"/>
  <c r="B316" i="44"/>
  <c r="F315" i="44"/>
  <c r="E315" i="44"/>
  <c r="C316" i="44" l="1"/>
  <c r="D316" i="44" s="1"/>
  <c r="B317" i="44"/>
  <c r="F316" i="44"/>
  <c r="E316" i="44"/>
  <c r="C317" i="44" l="1"/>
  <c r="D317" i="44" s="1"/>
  <c r="B318" i="44"/>
  <c r="E317" i="44"/>
  <c r="F317" i="44"/>
  <c r="C318" i="44" l="1"/>
  <c r="D318" i="44" s="1"/>
  <c r="B319" i="44"/>
  <c r="E318" i="44"/>
  <c r="F318" i="44"/>
  <c r="B320" i="44" l="1"/>
  <c r="C319" i="44"/>
  <c r="D319" i="44" s="1"/>
  <c r="E319" i="44"/>
  <c r="F319" i="44"/>
  <c r="C320" i="44" l="1"/>
  <c r="D320" i="44" s="1"/>
  <c r="B321" i="44"/>
  <c r="F320" i="44"/>
  <c r="E320" i="44"/>
  <c r="C321" i="44" l="1"/>
  <c r="D321" i="44" s="1"/>
  <c r="B322" i="44"/>
  <c r="F321" i="44"/>
  <c r="E321" i="44"/>
  <c r="B323" i="44" l="1"/>
  <c r="C322" i="44"/>
  <c r="E322" i="44" l="1"/>
  <c r="D322" i="44"/>
  <c r="F322" i="44"/>
  <c r="C323" i="44"/>
  <c r="B324" i="44"/>
  <c r="F323" i="44" l="1"/>
  <c r="D323" i="44"/>
  <c r="E323" i="44"/>
  <c r="C324" i="44"/>
  <c r="B325" i="44"/>
  <c r="E324" i="44" l="1"/>
  <c r="D324" i="44"/>
  <c r="F324" i="44"/>
  <c r="C325" i="44"/>
  <c r="D325" i="44" s="1"/>
  <c r="E325" i="44" l="1"/>
  <c r="F325" i="44"/>
</calcChain>
</file>

<file path=xl/sharedStrings.xml><?xml version="1.0" encoding="utf-8"?>
<sst xmlns="http://schemas.openxmlformats.org/spreadsheetml/2006/main" count="593" uniqueCount="145">
  <si>
    <t>Year</t>
  </si>
  <si>
    <t>Month</t>
  </si>
  <si>
    <t>Day</t>
  </si>
  <si>
    <t>x</t>
  </si>
  <si>
    <t>Hour</t>
  </si>
  <si>
    <t>JDN</t>
  </si>
  <si>
    <t>Months</t>
  </si>
  <si>
    <t># days</t>
  </si>
  <si>
    <t>May</t>
  </si>
  <si>
    <t>Angle</t>
  </si>
  <si>
    <t>Sun</t>
  </si>
  <si>
    <t>r</t>
  </si>
  <si>
    <t>August</t>
  </si>
  <si>
    <t>fraction</t>
  </si>
  <si>
    <t>January</t>
  </si>
  <si>
    <t>February</t>
  </si>
  <si>
    <t>March</t>
  </si>
  <si>
    <t>April</t>
  </si>
  <si>
    <t>June</t>
  </si>
  <si>
    <t>July</t>
  </si>
  <si>
    <t>September</t>
  </si>
  <si>
    <t>October</t>
  </si>
  <si>
    <t>November</t>
  </si>
  <si>
    <t>December</t>
  </si>
  <si>
    <t>Inputs</t>
  </si>
  <si>
    <t>First quarter</t>
  </si>
  <si>
    <t>Waxing crescent</t>
  </si>
  <si>
    <t>Waxing gibbous</t>
  </si>
  <si>
    <t>Last quarter</t>
  </si>
  <si>
    <t>Full moon</t>
  </si>
  <si>
    <t>New moon</t>
  </si>
  <si>
    <t>points:</t>
  </si>
  <si>
    <t>dgr</t>
  </si>
  <si>
    <t>step:</t>
  </si>
  <si>
    <t>cos</t>
  </si>
  <si>
    <t>minor semi axis</t>
  </si>
  <si>
    <t>major semi axis</t>
  </si>
  <si>
    <t>ellipse</t>
  </si>
  <si>
    <t>black bottom</t>
  </si>
  <si>
    <t>transparent</t>
  </si>
  <si>
    <t>black top</t>
  </si>
  <si>
    <t>Waning gibbous</t>
  </si>
  <si>
    <t>Waning crescent</t>
  </si>
  <si>
    <t>e</t>
  </si>
  <si>
    <t>f</t>
  </si>
  <si>
    <t>u</t>
  </si>
  <si>
    <t>T</t>
  </si>
  <si>
    <t>M</t>
  </si>
  <si>
    <t>Date</t>
  </si>
  <si>
    <t>Time</t>
  </si>
  <si>
    <t>A</t>
  </si>
  <si>
    <t>Total</t>
  </si>
  <si>
    <t>B</t>
  </si>
  <si>
    <t>C</t>
  </si>
  <si>
    <t>E</t>
  </si>
  <si>
    <t>F</t>
  </si>
  <si>
    <t>Y'</t>
  </si>
  <si>
    <t>M'</t>
  </si>
  <si>
    <t>D</t>
  </si>
  <si>
    <t>j</t>
  </si>
  <si>
    <t>v</t>
  </si>
  <si>
    <t>p</t>
  </si>
  <si>
    <t>w</t>
  </si>
  <si>
    <t>m</t>
  </si>
  <si>
    <t>n</t>
  </si>
  <si>
    <t>g</t>
  </si>
  <si>
    <t>A1</t>
  </si>
  <si>
    <t>A7</t>
  </si>
  <si>
    <t>A3</t>
  </si>
  <si>
    <t>A2</t>
  </si>
  <si>
    <t>A5</t>
  </si>
  <si>
    <t>Nonetheless, this spreadsheet has been carefully reviewed, and calculation results have been compared with other applications.</t>
  </si>
  <si>
    <t>I'm solely responsible for the input and express no warranty.  Use at your own risk.</t>
  </si>
  <si>
    <t>All Rights Reserved:  © Astronomy Morsels.</t>
  </si>
  <si>
    <t>V1.0</t>
  </si>
  <si>
    <t>Email</t>
  </si>
  <si>
    <t xml:space="preserve">In this spreadsheet, the 4 major moon phases (New Moon, First Quarter, Full Moon and Last Quarter) are calculated from a given reference date. The result is displayed in a 2-months calendar. </t>
  </si>
  <si>
    <t>(days)</t>
  </si>
  <si>
    <t>New Moon</t>
  </si>
  <si>
    <t>Third/Last Quarter</t>
  </si>
  <si>
    <t>Day nr.</t>
  </si>
  <si>
    <t>Full Moon</t>
  </si>
  <si>
    <t>Leap year?</t>
  </si>
  <si>
    <t>First Quarter</t>
  </si>
  <si>
    <t>JDN (UT)</t>
  </si>
  <si>
    <t>JDN (12:00)</t>
  </si>
  <si>
    <t>Sat</t>
  </si>
  <si>
    <t>Fri</t>
  </si>
  <si>
    <t>Thu</t>
  </si>
  <si>
    <t>Wed</t>
  </si>
  <si>
    <t>Tue</t>
  </si>
  <si>
    <t>Mon</t>
  </si>
  <si>
    <t>Weekday</t>
  </si>
  <si>
    <t>Description</t>
  </si>
  <si>
    <t>UT</t>
  </si>
  <si>
    <t>Last Quarter</t>
  </si>
  <si>
    <t>Next Months</t>
  </si>
  <si>
    <t>Number</t>
  </si>
  <si>
    <t>Day of Week</t>
  </si>
  <si>
    <t>Month Selected</t>
  </si>
  <si>
    <t>Days</t>
  </si>
  <si>
    <t>JDE'</t>
  </si>
  <si>
    <t>Time of Moon Phase</t>
  </si>
  <si>
    <t>A1-A14</t>
  </si>
  <si>
    <t>W</t>
  </si>
  <si>
    <t>Correction</t>
  </si>
  <si>
    <t>k</t>
  </si>
  <si>
    <t>Final results</t>
  </si>
  <si>
    <t>Additional Correction for First/Last Quarter</t>
  </si>
  <si>
    <t>Ω</t>
  </si>
  <si>
    <t>sin</t>
  </si>
  <si>
    <t>Correction First/Last Quarter</t>
  </si>
  <si>
    <t>Correction Full Moon</t>
  </si>
  <si>
    <t>Correction New Moon</t>
  </si>
  <si>
    <t>A14</t>
  </si>
  <si>
    <t>A13</t>
  </si>
  <si>
    <t>A12</t>
  </si>
  <si>
    <t>A11</t>
  </si>
  <si>
    <t>A10</t>
  </si>
  <si>
    <t>A9</t>
  </si>
  <si>
    <t>A8</t>
  </si>
  <si>
    <t>A6</t>
  </si>
  <si>
    <t>A4</t>
  </si>
  <si>
    <t>sin(Ax)</t>
  </si>
  <si>
    <t>Correction for all phases</t>
  </si>
  <si>
    <t>M' (moon)</t>
  </si>
  <si>
    <t>M (sun)</t>
  </si>
  <si>
    <t>JDE</t>
  </si>
  <si>
    <t>(corrected for moon phase)</t>
  </si>
  <si>
    <t>Year'</t>
  </si>
  <si>
    <t>RD</t>
  </si>
  <si>
    <t>Reference: Meeus, Astronomical Algorithms, pp. 319-324.</t>
  </si>
  <si>
    <t>Calculate Fraction day/year</t>
  </si>
  <si>
    <t xml:space="preserve">s </t>
  </si>
  <si>
    <t xml:space="preserve">h  </t>
  </si>
  <si>
    <t>Second</t>
  </si>
  <si>
    <t>Minute</t>
  </si>
  <si>
    <t xml:space="preserve">Day </t>
  </si>
  <si>
    <r>
      <t>JDN'</t>
    </r>
    <r>
      <rPr>
        <b/>
        <vertAlign val="subscript"/>
        <sz val="11"/>
        <color indexed="8"/>
        <rFont val="Calibri"/>
        <family val="2"/>
      </rPr>
      <t>corrected</t>
    </r>
  </si>
  <si>
    <t>Start of month</t>
  </si>
  <si>
    <t>Start of Month</t>
  </si>
  <si>
    <t>Input Date</t>
  </si>
  <si>
    <t>Current moon phase at input date:</t>
  </si>
  <si>
    <r>
      <rPr>
        <b/>
        <sz val="14"/>
        <color theme="0"/>
        <rFont val="Calibri (Body)"/>
      </rPr>
      <t>Compiled by</t>
    </r>
    <r>
      <rPr>
        <sz val="14"/>
        <color theme="0"/>
        <rFont val="Calibri (Body)"/>
      </rPr>
      <t>: Anton Viola (Astronomy Morsels).</t>
    </r>
  </si>
  <si>
    <r>
      <rPr>
        <b/>
        <sz val="14"/>
        <color theme="0"/>
        <rFont val="Calibri (Body)"/>
      </rPr>
      <t>Latest update</t>
    </r>
    <r>
      <rPr>
        <sz val="14"/>
        <color theme="0"/>
        <rFont val="Calibri (Body)"/>
      </rPr>
      <t>: 15th April, 2024.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</si>
</sst>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#,##0.000"/>
    <numFmt numFmtId="165" formatCode="0.00000"/>
    <numFmt numFmtId="166" formatCode="[$]hh:mm;@"/>
    <numFmt numFmtId="167" formatCode="mm/dd/yy;@"/>
    <numFmt numFmtId="168" formatCode="dd/mm/yy;@"/>
    <numFmt numFmtId="169" formatCode="mmmm\ yyyy"/>
    <numFmt numFmtId="170" formatCode="0.0000000"/>
    <numFmt numFmtId="171" formatCode="#,##0.000000"/>
    <numFmt numFmtId="172" formatCode="[$]dd/mm/yyyy;@" x16r2:formatCode16="[$-en-CH,1]dd/mm/yyyy;@"/>
  </numFmts>
  <fonts count="38" x14ac:knownFonts="1">
    <font>
      <sz val="12"/>
      <color theme="1"/>
      <name val="Calibri"/>
      <family val="2"/>
      <scheme val="minor"/>
    </font>
    <font>
      <sz val="12"/>
      <color theme="1"/>
      <name val="Verdana"/>
      <family val="2"/>
    </font>
    <font>
      <sz val="10"/>
      <color theme="1"/>
      <name val="Verdana"/>
      <family val="2"/>
    </font>
    <font>
      <b/>
      <sz val="12"/>
      <color theme="1"/>
      <name val="Verdana"/>
      <family val="2"/>
    </font>
    <font>
      <b/>
      <sz val="10"/>
      <color theme="1"/>
      <name val="Verdana"/>
      <family val="2"/>
    </font>
    <font>
      <b/>
      <sz val="11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2"/>
      <color theme="0" tint="-4.9989318521683403E-2"/>
      <name val="Calibri"/>
      <family val="2"/>
      <scheme val="minor"/>
    </font>
    <font>
      <sz val="10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i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5"/>
      <name val="Calibri"/>
      <family val="2"/>
      <scheme val="minor"/>
    </font>
    <font>
      <b/>
      <sz val="15"/>
      <color theme="0"/>
      <name val="Calibri"/>
      <family val="2"/>
      <scheme val="minor"/>
    </font>
    <font>
      <b/>
      <u/>
      <sz val="10"/>
      <color theme="1"/>
      <name val="Calibri"/>
      <family val="2"/>
      <scheme val="minor"/>
    </font>
    <font>
      <b/>
      <sz val="9"/>
      <color theme="0" tint="-4.9989318521683403E-2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b/>
      <vertAlign val="subscript"/>
      <sz val="11"/>
      <color indexed="8"/>
      <name val="Calibri"/>
      <family val="2"/>
    </font>
    <font>
      <sz val="16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i/>
      <sz val="14"/>
      <color theme="0"/>
      <name val="Calibri"/>
      <family val="2"/>
    </font>
    <font>
      <sz val="14"/>
      <color theme="0"/>
      <name val="Calibri (Body)"/>
    </font>
    <font>
      <b/>
      <sz val="14"/>
      <color theme="0"/>
      <name val="Calibri (Body)"/>
    </font>
    <font>
      <u/>
      <sz val="14"/>
      <color theme="0"/>
      <name val="Calibri"/>
      <family val="2"/>
      <scheme val="minor"/>
    </font>
    <font>
      <u/>
      <sz val="14"/>
      <color theme="0"/>
      <name val="Calibri (Body)"/>
    </font>
    <font>
      <u/>
      <sz val="12"/>
      <color theme="0"/>
      <name val="Calibri"/>
      <family val="2"/>
    </font>
    <font>
      <sz val="9"/>
      <color theme="0"/>
      <name val="Calibri"/>
      <family val="2"/>
    </font>
  </fonts>
  <fills count="13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6" tint="0.39994506668294322"/>
        <bgColor indexed="64"/>
      </patternFill>
    </fill>
    <fill>
      <patternFill patternType="solid">
        <fgColor rgb="FF00B050"/>
        <bgColor indexed="64"/>
      </patternFill>
    </fill>
  </fills>
  <borders count="22">
    <border>
      <left/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rgb="FF000000"/>
      </right>
      <top/>
      <bottom style="thin">
        <color indexed="64"/>
      </bottom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9">
    <xf numFmtId="0" fontId="0" fillId="0" borderId="0"/>
    <xf numFmtId="0" fontId="8" fillId="0" borderId="0"/>
    <xf numFmtId="0" fontId="9" fillId="0" borderId="0" applyNumberFormat="0" applyFill="0" applyBorder="0" applyAlignment="0" applyProtection="0">
      <alignment vertical="top"/>
      <protection locked="0"/>
    </xf>
    <xf numFmtId="0" fontId="11" fillId="0" borderId="0"/>
    <xf numFmtId="0" fontId="12" fillId="0" borderId="0" applyNumberFormat="0" applyFill="0" applyBorder="0" applyAlignment="0" applyProtection="0"/>
    <xf numFmtId="0" fontId="13" fillId="0" borderId="0"/>
    <xf numFmtId="0" fontId="15" fillId="0" borderId="0"/>
    <xf numFmtId="0" fontId="16" fillId="0" borderId="0"/>
    <xf numFmtId="0" fontId="6" fillId="0" borderId="0" applyNumberFormat="0" applyFill="0" applyBorder="0" applyAlignment="0" applyProtection="0"/>
  </cellStyleXfs>
  <cellXfs count="222">
    <xf numFmtId="0" fontId="0" fillId="0" borderId="0" xfId="0"/>
    <xf numFmtId="0" fontId="15" fillId="0" borderId="0" xfId="6"/>
    <xf numFmtId="0" fontId="16" fillId="0" borderId="0" xfId="7"/>
    <xf numFmtId="0" fontId="16" fillId="8" borderId="0" xfId="7" applyFill="1"/>
    <xf numFmtId="0" fontId="16" fillId="2" borderId="0" xfId="7" applyFill="1"/>
    <xf numFmtId="0" fontId="16" fillId="8" borderId="0" xfId="7" applyFill="1" applyAlignment="1">
      <alignment horizontal="center"/>
    </xf>
    <xf numFmtId="167" fontId="16" fillId="8" borderId="0" xfId="7" applyNumberFormat="1" applyFill="1" applyAlignment="1">
      <alignment horizontal="center"/>
    </xf>
    <xf numFmtId="0" fontId="16" fillId="8" borderId="0" xfId="7" applyFill="1" applyProtection="1">
      <protection hidden="1"/>
    </xf>
    <xf numFmtId="1" fontId="17" fillId="8" borderId="0" xfId="7" applyNumberFormat="1" applyFont="1" applyFill="1" applyAlignment="1">
      <alignment horizontal="center" vertical="center"/>
    </xf>
    <xf numFmtId="0" fontId="18" fillId="8" borderId="0" xfId="7" applyFont="1" applyFill="1"/>
    <xf numFmtId="0" fontId="19" fillId="8" borderId="0" xfId="7" applyFont="1" applyFill="1"/>
    <xf numFmtId="1" fontId="20" fillId="9" borderId="9" xfId="7" applyNumberFormat="1" applyFont="1" applyFill="1" applyBorder="1" applyAlignment="1">
      <alignment horizontal="center" vertical="center"/>
    </xf>
    <xf numFmtId="0" fontId="21" fillId="9" borderId="7" xfId="7" applyFont="1" applyFill="1" applyBorder="1" applyAlignment="1">
      <alignment horizontal="center" vertical="center"/>
    </xf>
    <xf numFmtId="0" fontId="20" fillId="9" borderId="6" xfId="7" applyFont="1" applyFill="1" applyBorder="1" applyAlignment="1">
      <alignment horizontal="center" vertical="center"/>
    </xf>
    <xf numFmtId="0" fontId="21" fillId="9" borderId="5" xfId="7" applyFont="1" applyFill="1" applyBorder="1" applyAlignment="1">
      <alignment horizontal="center" vertical="center"/>
    </xf>
    <xf numFmtId="4" fontId="20" fillId="9" borderId="6" xfId="7" applyNumberFormat="1" applyFont="1" applyFill="1" applyBorder="1" applyAlignment="1">
      <alignment horizontal="center" vertical="center"/>
    </xf>
    <xf numFmtId="166" fontId="20" fillId="9" borderId="6" xfId="7" applyNumberFormat="1" applyFont="1" applyFill="1" applyBorder="1" applyAlignment="1">
      <alignment horizontal="center" vertical="center"/>
    </xf>
    <xf numFmtId="14" fontId="20" fillId="9" borderId="6" xfId="7" applyNumberFormat="1" applyFont="1" applyFill="1" applyBorder="1" applyAlignment="1">
      <alignment horizontal="center" vertical="center"/>
    </xf>
    <xf numFmtId="0" fontId="23" fillId="8" borderId="0" xfId="7" applyFont="1" applyFill="1" applyAlignment="1">
      <alignment horizontal="center"/>
    </xf>
    <xf numFmtId="0" fontId="24" fillId="8" borderId="0" xfId="7" applyFont="1" applyFill="1" applyAlignment="1">
      <alignment horizontal="center"/>
    </xf>
    <xf numFmtId="0" fontId="22" fillId="8" borderId="0" xfId="7" applyFont="1" applyFill="1"/>
    <xf numFmtId="0" fontId="26" fillId="8" borderId="0" xfId="7" applyFont="1" applyFill="1"/>
    <xf numFmtId="0" fontId="16" fillId="9" borderId="8" xfId="7" applyFill="1" applyBorder="1"/>
    <xf numFmtId="0" fontId="16" fillId="9" borderId="7" xfId="7" applyFill="1" applyBorder="1"/>
    <xf numFmtId="0" fontId="16" fillId="9" borderId="9" xfId="7" applyFill="1" applyBorder="1"/>
    <xf numFmtId="0" fontId="16" fillId="9" borderId="0" xfId="7" applyFill="1"/>
    <xf numFmtId="0" fontId="16" fillId="9" borderId="5" xfId="7" applyFill="1" applyBorder="1"/>
    <xf numFmtId="0" fontId="16" fillId="9" borderId="6" xfId="7" applyFill="1" applyBorder="1"/>
    <xf numFmtId="0" fontId="16" fillId="9" borderId="2" xfId="7" applyFill="1" applyBorder="1"/>
    <xf numFmtId="0" fontId="16" fillId="9" borderId="3" xfId="7" applyFill="1" applyBorder="1"/>
    <xf numFmtId="0" fontId="16" fillId="9" borderId="1" xfId="7" applyFill="1" applyBorder="1" applyAlignment="1">
      <alignment horizontal="right"/>
    </xf>
    <xf numFmtId="0" fontId="16" fillId="9" borderId="2" xfId="7" applyFill="1" applyBorder="1" applyAlignment="1">
      <alignment horizontal="right"/>
    </xf>
    <xf numFmtId="0" fontId="16" fillId="9" borderId="4" xfId="7" applyFill="1" applyBorder="1" applyAlignment="1">
      <alignment horizontal="right"/>
    </xf>
    <xf numFmtId="0" fontId="16" fillId="9" borderId="1" xfId="7" applyFill="1" applyBorder="1"/>
    <xf numFmtId="165" fontId="5" fillId="9" borderId="12" xfId="7" applyNumberFormat="1" applyFont="1" applyFill="1" applyBorder="1"/>
    <xf numFmtId="0" fontId="16" fillId="9" borderId="11" xfId="7" applyFill="1" applyBorder="1"/>
    <xf numFmtId="0" fontId="5" fillId="9" borderId="12" xfId="7" applyFont="1" applyFill="1" applyBorder="1"/>
    <xf numFmtId="0" fontId="5" fillId="9" borderId="11" xfId="7" applyFont="1" applyFill="1" applyBorder="1"/>
    <xf numFmtId="170" fontId="16" fillId="9" borderId="9" xfId="7" applyNumberFormat="1" applyFill="1" applyBorder="1"/>
    <xf numFmtId="170" fontId="16" fillId="9" borderId="8" xfId="7" applyNumberFormat="1" applyFill="1" applyBorder="1"/>
    <xf numFmtId="170" fontId="16" fillId="9" borderId="6" xfId="7" applyNumberFormat="1" applyFill="1" applyBorder="1"/>
    <xf numFmtId="170" fontId="16" fillId="9" borderId="0" xfId="7" applyNumberFormat="1" applyFill="1"/>
    <xf numFmtId="170" fontId="16" fillId="9" borderId="2" xfId="7" applyNumberFormat="1" applyFill="1" applyBorder="1"/>
    <xf numFmtId="170" fontId="16" fillId="9" borderId="3" xfId="7" applyNumberFormat="1" applyFill="1" applyBorder="1"/>
    <xf numFmtId="0" fontId="16" fillId="9" borderId="3" xfId="7" applyFill="1" applyBorder="1" applyAlignment="1">
      <alignment horizontal="right"/>
    </xf>
    <xf numFmtId="0" fontId="5" fillId="9" borderId="14" xfId="7" applyFont="1" applyFill="1" applyBorder="1"/>
    <xf numFmtId="0" fontId="5" fillId="9" borderId="15" xfId="7" applyFont="1" applyFill="1" applyBorder="1"/>
    <xf numFmtId="170" fontId="5" fillId="9" borderId="14" xfId="7" applyNumberFormat="1" applyFont="1" applyFill="1" applyBorder="1"/>
    <xf numFmtId="170" fontId="16" fillId="9" borderId="10" xfId="7" applyNumberFormat="1" applyFill="1" applyBorder="1"/>
    <xf numFmtId="170" fontId="16" fillId="9" borderId="7" xfId="7" applyNumberFormat="1" applyFill="1" applyBorder="1"/>
    <xf numFmtId="170" fontId="16" fillId="9" borderId="13" xfId="7" applyNumberFormat="1" applyFill="1" applyBorder="1"/>
    <xf numFmtId="170" fontId="16" fillId="9" borderId="5" xfId="7" applyNumberFormat="1" applyFill="1" applyBorder="1"/>
    <xf numFmtId="170" fontId="16" fillId="9" borderId="4" xfId="7" applyNumberFormat="1" applyFill="1" applyBorder="1"/>
    <xf numFmtId="0" fontId="16" fillId="9" borderId="12" xfId="7" applyFill="1" applyBorder="1" applyAlignment="1">
      <alignment horizontal="right"/>
    </xf>
    <xf numFmtId="0" fontId="16" fillId="9" borderId="15" xfId="7" applyFill="1" applyBorder="1" applyAlignment="1">
      <alignment horizontal="right"/>
    </xf>
    <xf numFmtId="0" fontId="16" fillId="9" borderId="14" xfId="7" applyFill="1" applyBorder="1" applyAlignment="1">
      <alignment horizontal="right"/>
    </xf>
    <xf numFmtId="0" fontId="16" fillId="0" borderId="0" xfId="7" applyAlignment="1">
      <alignment horizontal="center"/>
    </xf>
    <xf numFmtId="170" fontId="16" fillId="9" borderId="1" xfId="7" applyNumberFormat="1" applyFill="1" applyBorder="1"/>
    <xf numFmtId="170" fontId="5" fillId="0" borderId="14" xfId="7" applyNumberFormat="1" applyFont="1" applyBorder="1"/>
    <xf numFmtId="170" fontId="16" fillId="9" borderId="8" xfId="7" applyNumberFormat="1" applyFill="1" applyBorder="1" applyAlignment="1">
      <alignment horizontal="right"/>
    </xf>
    <xf numFmtId="170" fontId="16" fillId="9" borderId="0" xfId="7" applyNumberFormat="1" applyFill="1" applyAlignment="1">
      <alignment horizontal="right"/>
    </xf>
    <xf numFmtId="170" fontId="16" fillId="0" borderId="9" xfId="7" applyNumberFormat="1" applyBorder="1"/>
    <xf numFmtId="170" fontId="16" fillId="0" borderId="8" xfId="7" applyNumberFormat="1" applyBorder="1"/>
    <xf numFmtId="0" fontId="16" fillId="0" borderId="7" xfId="7" applyBorder="1"/>
    <xf numFmtId="170" fontId="16" fillId="0" borderId="6" xfId="7" applyNumberFormat="1" applyBorder="1"/>
    <xf numFmtId="170" fontId="16" fillId="0" borderId="0" xfId="7" applyNumberFormat="1"/>
    <xf numFmtId="0" fontId="16" fillId="0" borderId="5" xfId="7" applyBorder="1"/>
    <xf numFmtId="170" fontId="16" fillId="0" borderId="2" xfId="7" applyNumberFormat="1" applyBorder="1"/>
    <xf numFmtId="170" fontId="16" fillId="0" borderId="3" xfId="7" applyNumberFormat="1" applyBorder="1"/>
    <xf numFmtId="0" fontId="16" fillId="0" borderId="1" xfId="7" applyBorder="1"/>
    <xf numFmtId="0" fontId="14" fillId="0" borderId="0" xfId="7" applyFont="1"/>
    <xf numFmtId="1" fontId="16" fillId="9" borderId="6" xfId="7" applyNumberFormat="1" applyFill="1" applyBorder="1"/>
    <xf numFmtId="0" fontId="16" fillId="9" borderId="6" xfId="7" applyFill="1" applyBorder="1" applyAlignment="1">
      <alignment horizontal="right"/>
    </xf>
    <xf numFmtId="170" fontId="16" fillId="9" borderId="12" xfId="7" applyNumberFormat="1" applyFill="1" applyBorder="1"/>
    <xf numFmtId="0" fontId="7" fillId="0" borderId="0" xfId="7" applyFont="1"/>
    <xf numFmtId="0" fontId="7" fillId="6" borderId="0" xfId="7" applyFont="1" applyFill="1"/>
    <xf numFmtId="0" fontId="21" fillId="9" borderId="8" xfId="7" applyFont="1" applyFill="1" applyBorder="1" applyAlignment="1">
      <alignment horizontal="center"/>
    </xf>
    <xf numFmtId="1" fontId="21" fillId="9" borderId="7" xfId="7" applyNumberFormat="1" applyFont="1" applyFill="1" applyBorder="1" applyAlignment="1">
      <alignment horizontal="center"/>
    </xf>
    <xf numFmtId="0" fontId="21" fillId="9" borderId="0" xfId="7" applyFont="1" applyFill="1" applyAlignment="1">
      <alignment horizontal="center"/>
    </xf>
    <xf numFmtId="1" fontId="21" fillId="9" borderId="5" xfId="7" applyNumberFormat="1" applyFont="1" applyFill="1" applyBorder="1" applyAlignment="1">
      <alignment horizontal="center"/>
    </xf>
    <xf numFmtId="2" fontId="21" fillId="9" borderId="6" xfId="7" applyNumberFormat="1" applyFont="1" applyFill="1" applyBorder="1" applyAlignment="1">
      <alignment horizontal="right"/>
    </xf>
    <xf numFmtId="0" fontId="21" fillId="9" borderId="5" xfId="7" applyFont="1" applyFill="1" applyBorder="1"/>
    <xf numFmtId="1" fontId="5" fillId="9" borderId="6" xfId="7" applyNumberFormat="1" applyFont="1" applyFill="1" applyBorder="1" applyAlignment="1">
      <alignment horizontal="right"/>
    </xf>
    <xf numFmtId="0" fontId="5" fillId="9" borderId="5" xfId="7" applyFont="1" applyFill="1" applyBorder="1"/>
    <xf numFmtId="1" fontId="21" fillId="9" borderId="6" xfId="7" applyNumberFormat="1" applyFont="1" applyFill="1" applyBorder="1" applyAlignment="1">
      <alignment horizontal="right"/>
    </xf>
    <xf numFmtId="0" fontId="21" fillId="9" borderId="6" xfId="7" applyFont="1" applyFill="1" applyBorder="1" applyAlignment="1">
      <alignment horizontal="right"/>
    </xf>
    <xf numFmtId="0" fontId="25" fillId="9" borderId="0" xfId="7" applyFont="1" applyFill="1" applyAlignment="1">
      <alignment horizontal="center"/>
    </xf>
    <xf numFmtId="0" fontId="25" fillId="9" borderId="5" xfId="7" applyFont="1" applyFill="1" applyBorder="1" applyAlignment="1">
      <alignment horizontal="center"/>
    </xf>
    <xf numFmtId="0" fontId="27" fillId="9" borderId="5" xfId="7" applyFont="1" applyFill="1" applyBorder="1"/>
    <xf numFmtId="0" fontId="21" fillId="9" borderId="3" xfId="7" applyFont="1" applyFill="1" applyBorder="1" applyAlignment="1">
      <alignment horizontal="center"/>
    </xf>
    <xf numFmtId="0" fontId="27" fillId="9" borderId="1" xfId="7" applyFont="1" applyFill="1" applyBorder="1"/>
    <xf numFmtId="171" fontId="21" fillId="9" borderId="9" xfId="7" applyNumberFormat="1" applyFont="1" applyFill="1" applyBorder="1"/>
    <xf numFmtId="0" fontId="21" fillId="9" borderId="7" xfId="7" applyFont="1" applyFill="1" applyBorder="1"/>
    <xf numFmtId="1" fontId="21" fillId="9" borderId="6" xfId="7" applyNumberFormat="1" applyFont="1" applyFill="1" applyBorder="1"/>
    <xf numFmtId="0" fontId="21" fillId="9" borderId="6" xfId="7" applyFont="1" applyFill="1" applyBorder="1"/>
    <xf numFmtId="2" fontId="5" fillId="9" borderId="0" xfId="7" applyNumberFormat="1" applyFont="1" applyFill="1"/>
    <xf numFmtId="0" fontId="21" fillId="9" borderId="0" xfId="7" applyFont="1" applyFill="1"/>
    <xf numFmtId="1" fontId="5" fillId="9" borderId="6" xfId="7" applyNumberFormat="1" applyFont="1" applyFill="1" applyBorder="1"/>
    <xf numFmtId="0" fontId="5" fillId="9" borderId="0" xfId="7" applyFont="1" applyFill="1"/>
    <xf numFmtId="4" fontId="5" fillId="9" borderId="6" xfId="7" applyNumberFormat="1" applyFont="1" applyFill="1" applyBorder="1"/>
    <xf numFmtId="4" fontId="5" fillId="9" borderId="2" xfId="7" applyNumberFormat="1" applyFont="1" applyFill="1" applyBorder="1"/>
    <xf numFmtId="0" fontId="5" fillId="9" borderId="1" xfId="7" applyFont="1" applyFill="1" applyBorder="1"/>
    <xf numFmtId="0" fontId="5" fillId="9" borderId="3" xfId="7" applyFont="1" applyFill="1" applyBorder="1"/>
    <xf numFmtId="0" fontId="3" fillId="3" borderId="8" xfId="0" applyFont="1" applyFill="1" applyBorder="1"/>
    <xf numFmtId="0" fontId="16" fillId="3" borderId="9" xfId="7" applyFill="1" applyBorder="1" applyAlignment="1">
      <alignment horizontal="center"/>
    </xf>
    <xf numFmtId="0" fontId="4" fillId="9" borderId="11" xfId="0" applyFont="1" applyFill="1" applyBorder="1" applyAlignment="1">
      <alignment horizontal="center"/>
    </xf>
    <xf numFmtId="164" fontId="2" fillId="9" borderId="12" xfId="0" applyNumberFormat="1" applyFont="1" applyFill="1" applyBorder="1"/>
    <xf numFmtId="0" fontId="11" fillId="9" borderId="3" xfId="3" applyFill="1" applyBorder="1"/>
    <xf numFmtId="0" fontId="1" fillId="9" borderId="3" xfId="0" applyFont="1" applyFill="1" applyBorder="1"/>
    <xf numFmtId="0" fontId="11" fillId="9" borderId="2" xfId="3" applyFill="1" applyBorder="1"/>
    <xf numFmtId="0" fontId="11" fillId="9" borderId="1" xfId="3" applyFill="1" applyBorder="1"/>
    <xf numFmtId="164" fontId="11" fillId="9" borderId="2" xfId="3" applyNumberFormat="1" applyFill="1" applyBorder="1"/>
    <xf numFmtId="0" fontId="11" fillId="9" borderId="7" xfId="3" applyFill="1" applyBorder="1"/>
    <xf numFmtId="0" fontId="11" fillId="9" borderId="8" xfId="3" applyFill="1" applyBorder="1"/>
    <xf numFmtId="2" fontId="11" fillId="9" borderId="9" xfId="3" applyNumberFormat="1" applyFill="1" applyBorder="1"/>
    <xf numFmtId="0" fontId="11" fillId="9" borderId="5" xfId="3" applyFill="1" applyBorder="1"/>
    <xf numFmtId="0" fontId="11" fillId="9" borderId="0" xfId="3" applyFill="1"/>
    <xf numFmtId="0" fontId="11" fillId="9" borderId="6" xfId="3" applyFill="1" applyBorder="1"/>
    <xf numFmtId="0" fontId="11" fillId="9" borderId="9" xfId="3" applyFill="1" applyBorder="1"/>
    <xf numFmtId="0" fontId="10" fillId="9" borderId="5" xfId="3" applyFont="1" applyFill="1" applyBorder="1" applyAlignment="1">
      <alignment horizontal="center"/>
    </xf>
    <xf numFmtId="0" fontId="10" fillId="9" borderId="0" xfId="3" applyFont="1" applyFill="1" applyAlignment="1">
      <alignment horizontal="center"/>
    </xf>
    <xf numFmtId="0" fontId="10" fillId="9" borderId="6" xfId="3" applyFont="1" applyFill="1" applyBorder="1" applyAlignment="1">
      <alignment horizontal="center"/>
    </xf>
    <xf numFmtId="0" fontId="21" fillId="9" borderId="1" xfId="0" applyFont="1" applyFill="1" applyBorder="1"/>
    <xf numFmtId="0" fontId="21" fillId="9" borderId="3" xfId="0" applyFont="1" applyFill="1" applyBorder="1"/>
    <xf numFmtId="0" fontId="21" fillId="9" borderId="2" xfId="0" applyFont="1" applyFill="1" applyBorder="1"/>
    <xf numFmtId="0" fontId="21" fillId="9" borderId="5" xfId="0" applyFont="1" applyFill="1" applyBorder="1"/>
    <xf numFmtId="0" fontId="21" fillId="9" borderId="0" xfId="0" applyFont="1" applyFill="1"/>
    <xf numFmtId="0" fontId="21" fillId="9" borderId="6" xfId="0" applyFont="1" applyFill="1" applyBorder="1"/>
    <xf numFmtId="0" fontId="21" fillId="9" borderId="7" xfId="0" applyFont="1" applyFill="1" applyBorder="1"/>
    <xf numFmtId="0" fontId="21" fillId="9" borderId="8" xfId="0" applyFont="1" applyFill="1" applyBorder="1"/>
    <xf numFmtId="0" fontId="21" fillId="9" borderId="9" xfId="0" applyFont="1" applyFill="1" applyBorder="1"/>
    <xf numFmtId="0" fontId="21" fillId="9" borderId="1" xfId="7" applyFont="1" applyFill="1" applyBorder="1"/>
    <xf numFmtId="0" fontId="21" fillId="9" borderId="3" xfId="7" applyFont="1" applyFill="1" applyBorder="1"/>
    <xf numFmtId="0" fontId="21" fillId="9" borderId="4" xfId="7" applyFont="1" applyFill="1" applyBorder="1" applyAlignment="1">
      <alignment horizontal="right"/>
    </xf>
    <xf numFmtId="0" fontId="21" fillId="9" borderId="2" xfId="7" applyFont="1" applyFill="1" applyBorder="1" applyAlignment="1">
      <alignment horizontal="right"/>
    </xf>
    <xf numFmtId="0" fontId="21" fillId="9" borderId="1" xfId="7" applyFont="1" applyFill="1" applyBorder="1" applyAlignment="1">
      <alignment horizontal="center"/>
    </xf>
    <xf numFmtId="0" fontId="21" fillId="9" borderId="2" xfId="7" applyFont="1" applyFill="1" applyBorder="1" applyAlignment="1">
      <alignment horizontal="center"/>
    </xf>
    <xf numFmtId="0" fontId="21" fillId="0" borderId="0" xfId="7" applyFont="1"/>
    <xf numFmtId="0" fontId="21" fillId="9" borderId="1" xfId="7" applyFont="1" applyFill="1" applyBorder="1" applyAlignment="1">
      <alignment horizontal="right"/>
    </xf>
    <xf numFmtId="0" fontId="21" fillId="9" borderId="2" xfId="7" applyFont="1" applyFill="1" applyBorder="1"/>
    <xf numFmtId="0" fontId="21" fillId="9" borderId="13" xfId="7" applyFont="1" applyFill="1" applyBorder="1"/>
    <xf numFmtId="0" fontId="21" fillId="9" borderId="9" xfId="7" applyFont="1" applyFill="1" applyBorder="1"/>
    <xf numFmtId="0" fontId="21" fillId="9" borderId="5" xfId="7" applyFont="1" applyFill="1" applyBorder="1" applyAlignment="1">
      <alignment horizontal="center"/>
    </xf>
    <xf numFmtId="0" fontId="21" fillId="9" borderId="6" xfId="7" applyFont="1" applyFill="1" applyBorder="1" applyAlignment="1">
      <alignment horizontal="center"/>
    </xf>
    <xf numFmtId="14" fontId="21" fillId="0" borderId="0" xfId="7" applyNumberFormat="1" applyFont="1"/>
    <xf numFmtId="0" fontId="21" fillId="9" borderId="7" xfId="7" applyFont="1" applyFill="1" applyBorder="1" applyAlignment="1">
      <alignment horizontal="center"/>
    </xf>
    <xf numFmtId="0" fontId="21" fillId="9" borderId="9" xfId="7" applyFont="1" applyFill="1" applyBorder="1" applyAlignment="1">
      <alignment horizontal="center"/>
    </xf>
    <xf numFmtId="0" fontId="21" fillId="9" borderId="8" xfId="7" applyFont="1" applyFill="1" applyBorder="1"/>
    <xf numFmtId="0" fontId="21" fillId="9" borderId="10" xfId="7" applyFont="1" applyFill="1" applyBorder="1"/>
    <xf numFmtId="0" fontId="15" fillId="8" borderId="0" xfId="7" applyFont="1" applyFill="1"/>
    <xf numFmtId="0" fontId="15" fillId="8" borderId="0" xfId="7" applyFont="1" applyFill="1" applyProtection="1">
      <protection hidden="1"/>
    </xf>
    <xf numFmtId="0" fontId="15" fillId="0" borderId="1" xfId="7" applyFont="1" applyBorder="1" applyProtection="1">
      <protection hidden="1"/>
    </xf>
    <xf numFmtId="0" fontId="15" fillId="0" borderId="3" xfId="7" applyFont="1" applyBorder="1" applyProtection="1">
      <protection hidden="1"/>
    </xf>
    <xf numFmtId="0" fontId="15" fillId="0" borderId="2" xfId="7" applyFont="1" applyBorder="1" applyProtection="1">
      <protection hidden="1"/>
    </xf>
    <xf numFmtId="0" fontId="15" fillId="0" borderId="5" xfId="7" applyFont="1" applyBorder="1" applyProtection="1">
      <protection hidden="1"/>
    </xf>
    <xf numFmtId="0" fontId="15" fillId="0" borderId="0" xfId="7" applyFont="1" applyProtection="1">
      <protection hidden="1"/>
    </xf>
    <xf numFmtId="0" fontId="15" fillId="0" borderId="6" xfId="7" applyFont="1" applyBorder="1" applyProtection="1">
      <protection hidden="1"/>
    </xf>
    <xf numFmtId="0" fontId="15" fillId="0" borderId="7" xfId="7" applyFont="1" applyBorder="1" applyProtection="1">
      <protection hidden="1"/>
    </xf>
    <xf numFmtId="0" fontId="15" fillId="0" borderId="8" xfId="7" applyFont="1" applyBorder="1" applyProtection="1">
      <protection hidden="1"/>
    </xf>
    <xf numFmtId="0" fontId="15" fillId="0" borderId="9" xfId="7" applyFont="1" applyBorder="1" applyProtection="1">
      <protection hidden="1"/>
    </xf>
    <xf numFmtId="0" fontId="30" fillId="4" borderId="14" xfId="7" applyFont="1" applyFill="1" applyBorder="1" applyAlignment="1">
      <alignment horizontal="center"/>
    </xf>
    <xf numFmtId="0" fontId="15" fillId="5" borderId="14" xfId="7" applyFont="1" applyFill="1" applyBorder="1" applyAlignment="1">
      <alignment horizontal="center"/>
    </xf>
    <xf numFmtId="0" fontId="15" fillId="6" borderId="14" xfId="7" applyFont="1" applyFill="1" applyBorder="1" applyAlignment="1">
      <alignment horizontal="center"/>
    </xf>
    <xf numFmtId="0" fontId="15" fillId="7" borderId="14" xfId="7" applyFont="1" applyFill="1" applyBorder="1" applyAlignment="1">
      <alignment horizontal="center"/>
    </xf>
    <xf numFmtId="167" fontId="15" fillId="8" borderId="0" xfId="7" applyNumberFormat="1" applyFont="1" applyFill="1" applyAlignment="1">
      <alignment horizontal="center"/>
    </xf>
    <xf numFmtId="0" fontId="15" fillId="0" borderId="10" xfId="7" applyFont="1" applyBorder="1" applyAlignment="1">
      <alignment horizontal="center"/>
    </xf>
    <xf numFmtId="0" fontId="15" fillId="4" borderId="5" xfId="7" applyFont="1" applyFill="1" applyBorder="1" applyAlignment="1" applyProtection="1">
      <alignment horizontal="center"/>
      <protection hidden="1"/>
    </xf>
    <xf numFmtId="0" fontId="15" fillId="4" borderId="0" xfId="7" applyFont="1" applyFill="1" applyAlignment="1" applyProtection="1">
      <alignment horizontal="center"/>
      <protection hidden="1"/>
    </xf>
    <xf numFmtId="0" fontId="15" fillId="4" borderId="6" xfId="7" applyFont="1" applyFill="1" applyBorder="1" applyAlignment="1" applyProtection="1">
      <alignment horizontal="center"/>
      <protection hidden="1"/>
    </xf>
    <xf numFmtId="0" fontId="15" fillId="12" borderId="0" xfId="6" applyFill="1"/>
    <xf numFmtId="0" fontId="16" fillId="12" borderId="0" xfId="7" applyFill="1"/>
    <xf numFmtId="0" fontId="32" fillId="2" borderId="1" xfId="7" applyFont="1" applyFill="1" applyBorder="1" applyAlignment="1">
      <alignment horizontal="left"/>
    </xf>
    <xf numFmtId="0" fontId="32" fillId="2" borderId="3" xfId="6" applyFont="1" applyFill="1" applyBorder="1" applyAlignment="1">
      <alignment horizontal="center"/>
    </xf>
    <xf numFmtId="0" fontId="32" fillId="2" borderId="3" xfId="6" applyFont="1" applyFill="1" applyBorder="1"/>
    <xf numFmtId="0" fontId="34" fillId="2" borderId="2" xfId="8" applyFont="1" applyFill="1" applyBorder="1" applyAlignment="1">
      <alignment horizontal="center"/>
    </xf>
    <xf numFmtId="0" fontId="35" fillId="2" borderId="5" xfId="8" applyFont="1" applyFill="1" applyBorder="1" applyAlignment="1">
      <alignment horizontal="left"/>
    </xf>
    <xf numFmtId="0" fontId="32" fillId="2" borderId="0" xfId="6" applyFont="1" applyFill="1" applyAlignment="1">
      <alignment horizontal="center"/>
    </xf>
    <xf numFmtId="0" fontId="32" fillId="2" borderId="0" xfId="6" applyFont="1" applyFill="1"/>
    <xf numFmtId="0" fontId="32" fillId="2" borderId="6" xfId="6" applyFont="1" applyFill="1" applyBorder="1" applyAlignment="1">
      <alignment horizontal="center"/>
    </xf>
    <xf numFmtId="0" fontId="32" fillId="2" borderId="7" xfId="8" applyFont="1" applyFill="1" applyBorder="1" applyAlignment="1">
      <alignment horizontal="left"/>
    </xf>
    <xf numFmtId="0" fontId="32" fillId="2" borderId="8" xfId="8" applyFont="1" applyFill="1" applyBorder="1" applyAlignment="1">
      <alignment horizontal="left"/>
    </xf>
    <xf numFmtId="0" fontId="32" fillId="2" borderId="8" xfId="6" applyFont="1" applyFill="1" applyBorder="1"/>
    <xf numFmtId="0" fontId="33" fillId="2" borderId="9" xfId="6" applyFont="1" applyFill="1" applyBorder="1" applyAlignment="1">
      <alignment horizontal="center"/>
    </xf>
    <xf numFmtId="168" fontId="15" fillId="12" borderId="14" xfId="7" applyNumberFormat="1" applyFont="1" applyFill="1" applyBorder="1" applyAlignment="1">
      <alignment horizontal="center"/>
    </xf>
    <xf numFmtId="166" fontId="15" fillId="12" borderId="14" xfId="7" applyNumberFormat="1" applyFont="1" applyFill="1" applyBorder="1" applyAlignment="1">
      <alignment horizontal="center"/>
    </xf>
    <xf numFmtId="4" fontId="30" fillId="12" borderId="4" xfId="7" applyNumberFormat="1" applyFont="1" applyFill="1" applyBorder="1" applyAlignment="1">
      <alignment horizontal="center"/>
    </xf>
    <xf numFmtId="0" fontId="31" fillId="2" borderId="0" xfId="6" applyFont="1" applyFill="1" applyAlignment="1">
      <alignment horizontal="center" vertical="center" wrapText="1"/>
    </xf>
    <xf numFmtId="0" fontId="36" fillId="2" borderId="1" xfId="8" applyFont="1" applyFill="1" applyBorder="1" applyAlignment="1">
      <alignment horizontal="center"/>
    </xf>
    <xf numFmtId="0" fontId="36" fillId="2" borderId="3" xfId="8" applyFont="1" applyFill="1" applyBorder="1" applyAlignment="1">
      <alignment horizontal="center"/>
    </xf>
    <xf numFmtId="0" fontId="36" fillId="2" borderId="18" xfId="8" applyFont="1" applyFill="1" applyBorder="1" applyAlignment="1">
      <alignment horizontal="center"/>
    </xf>
    <xf numFmtId="0" fontId="37" fillId="2" borderId="5" xfId="7" applyFont="1" applyFill="1" applyBorder="1" applyAlignment="1">
      <alignment horizontal="center"/>
    </xf>
    <xf numFmtId="0" fontId="37" fillId="2" borderId="0" xfId="7" applyFont="1" applyFill="1" applyAlignment="1">
      <alignment horizontal="center"/>
    </xf>
    <xf numFmtId="0" fontId="37" fillId="2" borderId="17" xfId="7" applyFont="1" applyFill="1" applyBorder="1" applyAlignment="1">
      <alignment horizontal="center"/>
    </xf>
    <xf numFmtId="0" fontId="37" fillId="2" borderId="7" xfId="7" applyFont="1" applyFill="1" applyBorder="1" applyAlignment="1">
      <alignment horizontal="center"/>
    </xf>
    <xf numFmtId="0" fontId="37" fillId="2" borderId="8" xfId="7" applyFont="1" applyFill="1" applyBorder="1" applyAlignment="1">
      <alignment horizontal="center"/>
    </xf>
    <xf numFmtId="0" fontId="37" fillId="2" borderId="16" xfId="7" applyFont="1" applyFill="1" applyBorder="1" applyAlignment="1">
      <alignment horizontal="center"/>
    </xf>
    <xf numFmtId="0" fontId="15" fillId="11" borderId="14" xfId="7" applyFont="1" applyFill="1" applyBorder="1" applyAlignment="1">
      <alignment horizontal="center" vertical="center"/>
    </xf>
    <xf numFmtId="172" fontId="30" fillId="5" borderId="14" xfId="7" applyNumberFormat="1" applyFont="1" applyFill="1" applyBorder="1" applyAlignment="1" applyProtection="1">
      <alignment horizontal="center"/>
      <protection locked="0"/>
    </xf>
    <xf numFmtId="0" fontId="25" fillId="9" borderId="1" xfId="7" applyFont="1" applyFill="1" applyBorder="1" applyAlignment="1">
      <alignment horizontal="center" vertical="center"/>
    </xf>
    <xf numFmtId="0" fontId="25" fillId="9" borderId="2" xfId="7" applyFont="1" applyFill="1" applyBorder="1" applyAlignment="1">
      <alignment horizontal="center" vertical="center"/>
    </xf>
    <xf numFmtId="0" fontId="29" fillId="8" borderId="1" xfId="7" applyFont="1" applyFill="1" applyBorder="1" applyAlignment="1">
      <alignment horizontal="center"/>
    </xf>
    <xf numFmtId="0" fontId="29" fillId="8" borderId="3" xfId="7" applyFont="1" applyFill="1" applyBorder="1" applyAlignment="1">
      <alignment horizontal="center"/>
    </xf>
    <xf numFmtId="0" fontId="29" fillId="8" borderId="2" xfId="7" applyFont="1" applyFill="1" applyBorder="1" applyAlignment="1">
      <alignment horizontal="center"/>
    </xf>
    <xf numFmtId="0" fontId="3" fillId="3" borderId="7" xfId="0" applyFont="1" applyFill="1" applyBorder="1" applyAlignment="1">
      <alignment horizontal="center"/>
    </xf>
    <xf numFmtId="0" fontId="3" fillId="3" borderId="8" xfId="0" applyFont="1" applyFill="1" applyBorder="1" applyAlignment="1">
      <alignment horizontal="center"/>
    </xf>
    <xf numFmtId="0" fontId="15" fillId="3" borderId="14" xfId="7" applyFont="1" applyFill="1" applyBorder="1" applyAlignment="1">
      <alignment horizontal="center"/>
    </xf>
    <xf numFmtId="0" fontId="15" fillId="4" borderId="21" xfId="7" applyFont="1" applyFill="1" applyBorder="1" applyAlignment="1" applyProtection="1">
      <alignment horizontal="center"/>
      <protection hidden="1"/>
    </xf>
    <xf numFmtId="0" fontId="15" fillId="4" borderId="20" xfId="7" applyFont="1" applyFill="1" applyBorder="1" applyAlignment="1" applyProtection="1">
      <alignment horizontal="center"/>
      <protection hidden="1"/>
    </xf>
    <xf numFmtId="0" fontId="15" fillId="4" borderId="19" xfId="7" applyFont="1" applyFill="1" applyBorder="1" applyAlignment="1" applyProtection="1">
      <alignment horizontal="center"/>
      <protection hidden="1"/>
    </xf>
    <xf numFmtId="169" fontId="15" fillId="4" borderId="21" xfId="7" applyNumberFormat="1" applyFont="1" applyFill="1" applyBorder="1" applyAlignment="1" applyProtection="1">
      <alignment horizontal="center"/>
      <protection hidden="1"/>
    </xf>
    <xf numFmtId="169" fontId="15" fillId="4" borderId="20" xfId="7" applyNumberFormat="1" applyFont="1" applyFill="1" applyBorder="1" applyAlignment="1" applyProtection="1">
      <alignment horizontal="center"/>
      <protection hidden="1"/>
    </xf>
    <xf numFmtId="169" fontId="15" fillId="4" borderId="19" xfId="7" applyNumberFormat="1" applyFont="1" applyFill="1" applyBorder="1" applyAlignment="1" applyProtection="1">
      <alignment horizontal="center"/>
      <protection hidden="1"/>
    </xf>
    <xf numFmtId="0" fontId="24" fillId="10" borderId="11" xfId="7" applyFont="1" applyFill="1" applyBorder="1" applyAlignment="1">
      <alignment horizontal="center"/>
    </xf>
    <xf numFmtId="0" fontId="24" fillId="10" borderId="15" xfId="7" applyFont="1" applyFill="1" applyBorder="1" applyAlignment="1">
      <alignment horizontal="center"/>
    </xf>
    <xf numFmtId="0" fontId="24" fillId="10" borderId="12" xfId="7" applyFont="1" applyFill="1" applyBorder="1" applyAlignment="1">
      <alignment horizontal="center"/>
    </xf>
    <xf numFmtId="0" fontId="23" fillId="8" borderId="0" xfId="7" applyFont="1" applyFill="1" applyAlignment="1">
      <alignment horizontal="center" vertical="center"/>
    </xf>
    <xf numFmtId="0" fontId="15" fillId="3" borderId="14" xfId="7" applyFont="1" applyFill="1" applyBorder="1" applyAlignment="1">
      <alignment horizontal="center" vertical="center"/>
    </xf>
    <xf numFmtId="0" fontId="30" fillId="8" borderId="8" xfId="7" applyFont="1" applyFill="1" applyBorder="1" applyAlignment="1">
      <alignment horizontal="center"/>
    </xf>
    <xf numFmtId="0" fontId="5" fillId="9" borderId="11" xfId="7" applyFont="1" applyFill="1" applyBorder="1" applyAlignment="1">
      <alignment horizontal="center"/>
    </xf>
    <xf numFmtId="0" fontId="5" fillId="9" borderId="12" xfId="7" applyFont="1" applyFill="1" applyBorder="1" applyAlignment="1">
      <alignment horizontal="center"/>
    </xf>
    <xf numFmtId="0" fontId="5" fillId="9" borderId="1" xfId="7" applyFont="1" applyFill="1" applyBorder="1" applyAlignment="1">
      <alignment horizontal="center"/>
    </xf>
    <xf numFmtId="0" fontId="5" fillId="9" borderId="2" xfId="7" applyFont="1" applyFill="1" applyBorder="1" applyAlignment="1">
      <alignment horizontal="center"/>
    </xf>
  </cellXfs>
  <cellStyles count="9">
    <cellStyle name="Hyperlink 2" xfId="2" xr:uid="{4FE61311-DBD8-B048-945F-211246329FAC}"/>
    <cellStyle name="Hyperlink 2 2" xfId="8" xr:uid="{9AEAE755-0984-374B-83D3-325E278840C1}"/>
    <cellStyle name="Hyperlink 3" xfId="4" xr:uid="{6006D9EC-8120-0749-984A-414BFE0882C3}"/>
    <cellStyle name="Normal" xfId="0" builtinId="0"/>
    <cellStyle name="Normal 2" xfId="1" xr:uid="{63DDC796-707B-E346-BECA-246AC8FB8D6E}"/>
    <cellStyle name="Normal 2 2" xfId="6" xr:uid="{23C92AB3-C5D4-E44F-86E5-0B511C926082}"/>
    <cellStyle name="Normal 3" xfId="3" xr:uid="{9EF0BE49-41F8-3641-9F36-6E0EA183D3EE}"/>
    <cellStyle name="Normal 4" xfId="5" xr:uid="{19ECB998-5E58-6E4F-9183-EF25138180AA}"/>
    <cellStyle name="Normal 5" xfId="7" xr:uid="{25E274EF-2CE5-6C42-848D-8D45B2DC2040}"/>
  </cellStyles>
  <dxfs count="12">
    <dxf>
      <fill>
        <patternFill>
          <bgColor rgb="FFFFC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rgb="FFFFFF00"/>
        </patternFill>
      </fill>
    </dxf>
    <dxf>
      <font>
        <color theme="4" tint="0.79998168889431442"/>
      </font>
      <fill>
        <patternFill>
          <bgColor theme="4" tint="0.79998168889431442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5" tint="0.59996337778862885"/>
        </patternFill>
      </fill>
    </dxf>
    <dxf>
      <fill>
        <patternFill>
          <bgColor rgb="FFFFC000"/>
        </patternFill>
      </fill>
    </dxf>
    <dxf>
      <font>
        <color theme="4" tint="0.79998168889431442"/>
        <name val="Cambria"/>
        <scheme val="none"/>
      </font>
      <fill>
        <patternFill>
          <bgColor theme="4" tint="0.79998168889431442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24994659260841701"/>
        </patternFill>
      </fill>
    </dxf>
    <dxf>
      <fill>
        <patternFill>
          <bgColor rgb="FFFFFF00"/>
        </patternFill>
      </fill>
    </dxf>
  </dxfs>
  <tableStyles count="0" defaultTableStyle="TableStyleMedium9" defaultPivotStyle="PivotStyleMedium7"/>
  <colors>
    <mruColors>
      <color rgb="FFFFF4C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.jpg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7957908635653674E-2"/>
          <c:y val="8.8570188110700786E-3"/>
          <c:w val="0.97273465049997587"/>
          <c:h val="0.98626932728264161"/>
        </c:manualLayout>
      </c:layout>
      <c:pieChart>
        <c:varyColors val="1"/>
        <c:ser>
          <c:idx val="1"/>
          <c:order val="0"/>
          <c:tx>
            <c:v>k</c:v>
          </c:tx>
          <c:spPr>
            <a:noFill/>
            <a:ln>
              <a:noFill/>
            </a:ln>
          </c:spPr>
          <c:dPt>
            <c:idx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E22D-4848-9BD1-1350ADB3BC5A}"/>
              </c:ext>
            </c:extLst>
          </c:dP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2-E22D-4848-9BD1-1350ADB3BC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areaChart>
        <c:grouping val="stacked"/>
        <c:varyColors val="0"/>
        <c:ser>
          <c:idx val="2"/>
          <c:order val="1"/>
          <c:tx>
            <c:strRef>
              <c:f>Calculations!$D$124</c:f>
              <c:strCache>
                <c:ptCount val="1"/>
                <c:pt idx="0">
                  <c:v>black bottom</c:v>
                </c:pt>
              </c:strCache>
            </c:strRef>
          </c:tx>
          <c:spPr>
            <a:solidFill>
              <a:schemeClr val="tx1"/>
            </a:solidFill>
            <a:ln w="9525">
              <a:solidFill>
                <a:schemeClr val="tx1"/>
              </a:solidFill>
            </a:ln>
            <a:effectLst/>
          </c:spPr>
          <c:val>
            <c:numRef>
              <c:f>Calculations!$D$125:$D$325</c:f>
              <c:numCache>
                <c:formatCode>General</c:formatCode>
                <c:ptCount val="2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22D-4848-9BD1-1350ADB3BC5A}"/>
            </c:ext>
          </c:extLst>
        </c:ser>
        <c:ser>
          <c:idx val="0"/>
          <c:order val="2"/>
          <c:tx>
            <c:strRef>
              <c:f>Calculations!$E$124</c:f>
              <c:strCache>
                <c:ptCount val="1"/>
                <c:pt idx="0">
                  <c:v>transparent</c:v>
                </c:pt>
              </c:strCache>
            </c:strRef>
          </c:tx>
          <c:spPr>
            <a:noFill/>
            <a:ln w="25400">
              <a:noFill/>
            </a:ln>
            <a:effectLst/>
          </c:spPr>
          <c:val>
            <c:numRef>
              <c:f>Calculations!$E$125:$E$325</c:f>
              <c:numCache>
                <c:formatCode>General</c:formatCode>
                <c:ptCount val="2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5.6644014893469929E-5</c:v>
                </c:pt>
                <c:pt idx="102">
                  <c:v>2.2659531520341503E-4</c:v>
                </c:pt>
                <c:pt idx="103">
                  <c:v>5.0991170056247093E-4</c:v>
                </c:pt>
                <c:pt idx="104">
                  <c:v>9.0668961296713757E-4</c:v>
                </c:pt>
                <c:pt idx="105">
                  <c:v>1.4170643011480744E-3</c:v>
                </c:pt>
                <c:pt idx="106">
                  <c:v>2.0412100516024045E-3</c:v>
                </c:pt>
                <c:pt idx="107">
                  <c:v>2.7793404872131777E-3</c:v>
                </c:pt>
                <c:pt idx="108">
                  <c:v>3.6317089346530329E-3</c:v>
                </c:pt>
                <c:pt idx="109">
                  <c:v>4.5986088620543208E-3</c:v>
                </c:pt>
                <c:pt idx="110">
                  <c:v>5.6803743887229308E-3</c:v>
                </c:pt>
                <c:pt idx="111">
                  <c:v>6.877380868979599E-3</c:v>
                </c:pt>
                <c:pt idx="112">
                  <c:v>8.1900455525362181E-3</c:v>
                </c:pt>
                <c:pt idx="113">
                  <c:v>9.618828324155837E-3</c:v>
                </c:pt>
                <c:pt idx="114">
                  <c:v>1.1164232525708861E-2</c:v>
                </c:pt>
                <c:pt idx="115">
                  <c:v>1.2826805864118884E-2</c:v>
                </c:pt>
                <c:pt idx="116">
                  <c:v>1.4607141409112567E-2</c:v>
                </c:pt>
                <c:pt idx="117">
                  <c:v>1.6505878685124986E-2</c:v>
                </c:pt>
                <c:pt idx="118">
                  <c:v>1.8523704862195456E-2</c:v>
                </c:pt>
                <c:pt idx="119">
                  <c:v>2.0661356051208224E-2</c:v>
                </c:pt>
                <c:pt idx="120">
                  <c:v>2.2919618709391409E-2</c:v>
                </c:pt>
                <c:pt idx="121">
                  <c:v>2.5299331162608407E-2</c:v>
                </c:pt>
                <c:pt idx="122">
                  <c:v>2.7801385251639443E-2</c:v>
                </c:pt>
                <c:pt idx="123">
                  <c:v>3.0426728110392487E-2</c:v>
                </c:pt>
                <c:pt idx="124">
                  <c:v>3.3176364084782306E-2</c:v>
                </c:pt>
                <c:pt idx="125">
                  <c:v>3.605135680190974E-2</c:v>
                </c:pt>
                <c:pt idx="126">
                  <c:v>3.9052831400148369E-2</c:v>
                </c:pt>
                <c:pt idx="127">
                  <c:v>4.2181976931829013E-2</c:v>
                </c:pt>
                <c:pt idx="128">
                  <c:v>4.5440048951412404E-2</c:v>
                </c:pt>
                <c:pt idx="129">
                  <c:v>4.8828372303368339E-2</c:v>
                </c:pt>
                <c:pt idx="130">
                  <c:v>5.2348344125462742E-2</c:v>
                </c:pt>
                <c:pt idx="131">
                  <c:v>5.6001437084801431E-2</c:v>
                </c:pt>
                <c:pt idx="132">
                  <c:v>5.9789202865824009E-2</c:v>
                </c:pt>
                <c:pt idx="133">
                  <c:v>6.3713275931501556E-2</c:v>
                </c:pt>
                <c:pt idx="134">
                  <c:v>6.7775377581307916E-2</c:v>
                </c:pt>
                <c:pt idx="135">
                  <c:v>7.1977320332126338E-2</c:v>
                </c:pt>
                <c:pt idx="136">
                  <c:v>7.6321012651189735E-2</c:v>
                </c:pt>
                <c:pt idx="137">
                  <c:v>8.0808464073443997E-2</c:v>
                </c:pt>
                <c:pt idx="138">
                  <c:v>8.544179073946645E-2</c:v>
                </c:pt>
                <c:pt idx="139">
                  <c:v>9.0223221394301722E-2</c:v>
                </c:pt>
                <c:pt idx="140">
                  <c:v>9.5155103892382908E-2</c:v>
                </c:pt>
                <c:pt idx="141">
                  <c:v>0.10023991225918327</c:v>
                </c:pt>
                <c:pt idx="142">
                  <c:v>0.10548025436649255</c:v>
                </c:pt>
                <c:pt idx="143">
                  <c:v>0.11087888028535586</c:v>
                </c:pt>
                <c:pt idx="144">
                  <c:v>0.11643869138891927</c:v>
                </c:pt>
                <c:pt idx="145">
                  <c:v>0.12216275028685231</c:v>
                </c:pt>
                <c:pt idx="146">
                  <c:v>0.12805429168389393</c:v>
                </c:pt>
                <c:pt idx="147">
                  <c:v>0.13411673426764759</c:v>
                </c:pt>
                <c:pt idx="148">
                  <c:v>0.14035369374533668</c:v>
                </c:pt>
                <c:pt idx="149">
                  <c:v>0.14676899716620451</c:v>
                </c:pt>
                <c:pt idx="150">
                  <c:v>0.15336669868605035</c:v>
                </c:pt>
                <c:pt idx="151">
                  <c:v>0.16015109695358598</c:v>
                </c:pt>
                <c:pt idx="152">
                  <c:v>0.16712675432555302</c:v>
                </c:pt>
                <c:pt idx="153">
                  <c:v>0.17429851814967312</c:v>
                </c:pt>
                <c:pt idx="154">
                  <c:v>0.18167154439254751</c:v>
                </c:pt>
                <c:pt idx="155">
                  <c:v>0.18925132393481747</c:v>
                </c:pt>
                <c:pt idx="156">
                  <c:v>0.19704371190983938</c:v>
                </c:pt>
                <c:pt idx="157">
                  <c:v>0.2050549605267501</c:v>
                </c:pt>
                <c:pt idx="158">
                  <c:v>0.21329175589660954</c:v>
                </c:pt>
                <c:pt idx="159">
                  <c:v>0.22176125947440295</c:v>
                </c:pt>
                <c:pt idx="160">
                  <c:v>0.23047115484407577</c:v>
                </c:pt>
                <c:pt idx="161">
                  <c:v>0.23942970071355774</c:v>
                </c:pt>
                <c:pt idx="162">
                  <c:v>0.24864579115849683</c:v>
                </c:pt>
                <c:pt idx="163">
                  <c:v>0.25812902436573981</c:v>
                </c:pt>
                <c:pt idx="164">
                  <c:v>0.2678897813916733</c:v>
                </c:pt>
                <c:pt idx="165">
                  <c:v>0.27793931678116568</c:v>
                </c:pt>
                <c:pt idx="166">
                  <c:v>0.28828986330973005</c:v>
                </c:pt>
                <c:pt idx="167">
                  <c:v>0.29895475364108581</c:v>
                </c:pt>
                <c:pt idx="168">
                  <c:v>0.30994856237038859</c:v>
                </c:pt>
                <c:pt idx="169">
                  <c:v>0.32128727279910874</c:v>
                </c:pt>
                <c:pt idx="170">
                  <c:v>0.33298847392885</c:v>
                </c:pt>
                <c:pt idx="171">
                  <c:v>0.34507159466352932</c:v>
                </c:pt>
                <c:pt idx="172">
                  <c:v>0.35755818420739838</c:v>
                </c:pt>
                <c:pt idx="173">
                  <c:v>0.37047225033463915</c:v>
                </c:pt>
                <c:pt idx="174">
                  <c:v>0.38384067086825169</c:v>
                </c:pt>
                <c:pt idx="175">
                  <c:v>0.39769369876203853</c:v>
                </c:pt>
                <c:pt idx="176">
                  <c:v>0.41206558826401651</c:v>
                </c:pt>
                <c:pt idx="177">
                  <c:v>0.42699537972784629</c:v>
                </c:pt>
                <c:pt idx="178">
                  <c:v>0.44252789526232983</c:v>
                </c:pt>
                <c:pt idx="179">
                  <c:v>0.45871501902826095</c:v>
                </c:pt>
                <c:pt idx="180">
                  <c:v>0.47561736866290194</c:v>
                </c:pt>
                <c:pt idx="181">
                  <c:v>0.49330651491461142</c:v>
                </c:pt>
                <c:pt idx="182">
                  <c:v>0.51186798715362891</c:v>
                </c:pt>
                <c:pt idx="183">
                  <c:v>0.53140543487953484</c:v>
                </c:pt>
                <c:pt idx="184">
                  <c:v>0.55204654113073215</c:v>
                </c:pt>
                <c:pt idx="185">
                  <c:v>0.57395168522459938</c:v>
                </c:pt>
                <c:pt idx="186">
                  <c:v>0.59732710286078117</c:v>
                </c:pt>
                <c:pt idx="187">
                  <c:v>0.62244578135645212</c:v>
                </c:pt>
                <c:pt idx="188">
                  <c:v>0.64968250928892657</c:v>
                </c:pt>
                <c:pt idx="189">
                  <c:v>0.67957695005168395</c:v>
                </c:pt>
                <c:pt idx="190">
                  <c:v>0.71295828188959343</c:v>
                </c:pt>
                <c:pt idx="191">
                  <c:v>0.7512262166326964</c:v>
                </c:pt>
                <c:pt idx="192">
                  <c:v>0.79712744640167499</c:v>
                </c:pt>
                <c:pt idx="193">
                  <c:v>0.85787476974990229</c:v>
                </c:pt>
                <c:pt idx="194">
                  <c:v>1</c:v>
                </c:pt>
                <c:pt idx="195">
                  <c:v>1</c:v>
                </c:pt>
                <c:pt idx="196">
                  <c:v>1</c:v>
                </c:pt>
                <c:pt idx="197">
                  <c:v>1</c:v>
                </c:pt>
                <c:pt idx="198">
                  <c:v>1</c:v>
                </c:pt>
                <c:pt idx="199">
                  <c:v>1</c:v>
                </c:pt>
                <c:pt idx="20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22D-4848-9BD1-1350ADB3BC5A}"/>
            </c:ext>
          </c:extLst>
        </c:ser>
        <c:ser>
          <c:idx val="3"/>
          <c:order val="3"/>
          <c:tx>
            <c:strRef>
              <c:f>Calculations!$F$124</c:f>
              <c:strCache>
                <c:ptCount val="1"/>
                <c:pt idx="0">
                  <c:v>black top</c:v>
                </c:pt>
              </c:strCache>
            </c:strRef>
          </c:tx>
          <c:spPr>
            <a:solidFill>
              <a:schemeClr val="tx1"/>
            </a:solidFill>
            <a:ln w="9525">
              <a:noFill/>
            </a:ln>
            <a:effectLst/>
          </c:spPr>
          <c:val>
            <c:numRef>
              <c:f>Calculations!$F$125:$F$325</c:f>
              <c:numCache>
                <c:formatCode>General</c:formatCode>
                <c:ptCount val="201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2</c:v>
                </c:pt>
                <c:pt idx="13">
                  <c:v>2</c:v>
                </c:pt>
                <c:pt idx="14">
                  <c:v>2</c:v>
                </c:pt>
                <c:pt idx="15">
                  <c:v>2</c:v>
                </c:pt>
                <c:pt idx="16">
                  <c:v>2</c:v>
                </c:pt>
                <c:pt idx="17">
                  <c:v>2</c:v>
                </c:pt>
                <c:pt idx="18">
                  <c:v>2</c:v>
                </c:pt>
                <c:pt idx="19">
                  <c:v>2</c:v>
                </c:pt>
                <c:pt idx="20">
                  <c:v>2</c:v>
                </c:pt>
                <c:pt idx="21">
                  <c:v>2</c:v>
                </c:pt>
                <c:pt idx="22">
                  <c:v>2</c:v>
                </c:pt>
                <c:pt idx="23">
                  <c:v>2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2</c:v>
                </c:pt>
                <c:pt idx="49">
                  <c:v>2</c:v>
                </c:pt>
                <c:pt idx="50">
                  <c:v>2</c:v>
                </c:pt>
                <c:pt idx="51">
                  <c:v>2</c:v>
                </c:pt>
                <c:pt idx="52">
                  <c:v>2</c:v>
                </c:pt>
                <c:pt idx="53">
                  <c:v>2</c:v>
                </c:pt>
                <c:pt idx="54">
                  <c:v>2</c:v>
                </c:pt>
                <c:pt idx="55">
                  <c:v>2</c:v>
                </c:pt>
                <c:pt idx="56">
                  <c:v>2</c:v>
                </c:pt>
                <c:pt idx="57">
                  <c:v>2</c:v>
                </c:pt>
                <c:pt idx="58">
                  <c:v>2</c:v>
                </c:pt>
                <c:pt idx="59">
                  <c:v>2</c:v>
                </c:pt>
                <c:pt idx="60">
                  <c:v>2</c:v>
                </c:pt>
                <c:pt idx="61">
                  <c:v>2</c:v>
                </c:pt>
                <c:pt idx="62">
                  <c:v>2</c:v>
                </c:pt>
                <c:pt idx="63">
                  <c:v>2</c:v>
                </c:pt>
                <c:pt idx="64">
                  <c:v>2</c:v>
                </c:pt>
                <c:pt idx="65">
                  <c:v>2</c:v>
                </c:pt>
                <c:pt idx="66">
                  <c:v>2</c:v>
                </c:pt>
                <c:pt idx="67">
                  <c:v>2</c:v>
                </c:pt>
                <c:pt idx="68">
                  <c:v>2</c:v>
                </c:pt>
                <c:pt idx="69">
                  <c:v>2</c:v>
                </c:pt>
                <c:pt idx="70">
                  <c:v>2</c:v>
                </c:pt>
                <c:pt idx="71">
                  <c:v>2</c:v>
                </c:pt>
                <c:pt idx="72">
                  <c:v>2</c:v>
                </c:pt>
                <c:pt idx="73">
                  <c:v>2</c:v>
                </c:pt>
                <c:pt idx="74">
                  <c:v>2</c:v>
                </c:pt>
                <c:pt idx="75">
                  <c:v>2</c:v>
                </c:pt>
                <c:pt idx="76">
                  <c:v>2</c:v>
                </c:pt>
                <c:pt idx="77">
                  <c:v>2</c:v>
                </c:pt>
                <c:pt idx="78">
                  <c:v>2</c:v>
                </c:pt>
                <c:pt idx="79">
                  <c:v>2</c:v>
                </c:pt>
                <c:pt idx="80">
                  <c:v>2</c:v>
                </c:pt>
                <c:pt idx="81">
                  <c:v>2</c:v>
                </c:pt>
                <c:pt idx="82">
                  <c:v>2</c:v>
                </c:pt>
                <c:pt idx="83">
                  <c:v>2</c:v>
                </c:pt>
                <c:pt idx="84">
                  <c:v>2</c:v>
                </c:pt>
                <c:pt idx="85">
                  <c:v>2</c:v>
                </c:pt>
                <c:pt idx="86">
                  <c:v>2</c:v>
                </c:pt>
                <c:pt idx="87">
                  <c:v>2</c:v>
                </c:pt>
                <c:pt idx="88">
                  <c:v>2</c:v>
                </c:pt>
                <c:pt idx="89">
                  <c:v>2</c:v>
                </c:pt>
                <c:pt idx="90">
                  <c:v>2</c:v>
                </c:pt>
                <c:pt idx="91">
                  <c:v>2</c:v>
                </c:pt>
                <c:pt idx="92">
                  <c:v>2</c:v>
                </c:pt>
                <c:pt idx="93">
                  <c:v>2</c:v>
                </c:pt>
                <c:pt idx="94">
                  <c:v>2</c:v>
                </c:pt>
                <c:pt idx="95">
                  <c:v>2</c:v>
                </c:pt>
                <c:pt idx="96">
                  <c:v>2</c:v>
                </c:pt>
                <c:pt idx="97">
                  <c:v>2</c:v>
                </c:pt>
                <c:pt idx="98">
                  <c:v>2</c:v>
                </c:pt>
                <c:pt idx="99">
                  <c:v>2</c:v>
                </c:pt>
                <c:pt idx="100">
                  <c:v>2</c:v>
                </c:pt>
                <c:pt idx="101">
                  <c:v>1.9998867119702131</c:v>
                </c:pt>
                <c:pt idx="102">
                  <c:v>1.9995468093695932</c:v>
                </c:pt>
                <c:pt idx="103">
                  <c:v>1.9989801765988751</c:v>
                </c:pt>
                <c:pt idx="104">
                  <c:v>1.9981866207740657</c:v>
                </c:pt>
                <c:pt idx="105">
                  <c:v>1.9971658713977039</c:v>
                </c:pt>
                <c:pt idx="106">
                  <c:v>1.9959175798967952</c:v>
                </c:pt>
                <c:pt idx="107">
                  <c:v>1.9944413190255736</c:v>
                </c:pt>
                <c:pt idx="108">
                  <c:v>1.9927365821306939</c:v>
                </c:pt>
                <c:pt idx="109">
                  <c:v>1.9908027822758914</c:v>
                </c:pt>
                <c:pt idx="110">
                  <c:v>1.9886392512225541</c:v>
                </c:pt>
                <c:pt idx="111">
                  <c:v>1.9862452382620408</c:v>
                </c:pt>
                <c:pt idx="112">
                  <c:v>1.9836199088949276</c:v>
                </c:pt>
                <c:pt idx="113">
                  <c:v>1.9807623433516883</c:v>
                </c:pt>
                <c:pt idx="114">
                  <c:v>1.9776715349485823</c:v>
                </c:pt>
                <c:pt idx="115">
                  <c:v>1.9743463882717622</c:v>
                </c:pt>
                <c:pt idx="116">
                  <c:v>1.9707857171817749</c:v>
                </c:pt>
                <c:pt idx="117">
                  <c:v>1.96698824262975</c:v>
                </c:pt>
                <c:pt idx="118">
                  <c:v>1.9629525902756091</c:v>
                </c:pt>
                <c:pt idx="119">
                  <c:v>1.9586772878975836</c:v>
                </c:pt>
                <c:pt idx="120">
                  <c:v>1.9541607625812172</c:v>
                </c:pt>
                <c:pt idx="121">
                  <c:v>1.9494013376747832</c:v>
                </c:pt>
                <c:pt idx="122">
                  <c:v>1.9443972294967211</c:v>
                </c:pt>
                <c:pt idx="123">
                  <c:v>1.939146543779215</c:v>
                </c:pt>
                <c:pt idx="124">
                  <c:v>1.9336472718304354</c:v>
                </c:pt>
                <c:pt idx="125">
                  <c:v>1.9278972863961805</c:v>
                </c:pt>
                <c:pt idx="126">
                  <c:v>1.9218943371997033</c:v>
                </c:pt>
                <c:pt idx="127">
                  <c:v>1.915636046136342</c:v>
                </c:pt>
                <c:pt idx="128">
                  <c:v>1.9091199020971752</c:v>
                </c:pt>
                <c:pt idx="129">
                  <c:v>1.9023432553932633</c:v>
                </c:pt>
                <c:pt idx="130">
                  <c:v>1.8953033117490745</c:v>
                </c:pt>
                <c:pt idx="131">
                  <c:v>1.8879971258303971</c:v>
                </c:pt>
                <c:pt idx="132">
                  <c:v>1.880421594268352</c:v>
                </c:pt>
                <c:pt idx="133">
                  <c:v>1.8725734481369969</c:v>
                </c:pt>
                <c:pt idx="134">
                  <c:v>1.8644492448373842</c:v>
                </c:pt>
                <c:pt idx="135">
                  <c:v>1.8560453593357473</c:v>
                </c:pt>
                <c:pt idx="136">
                  <c:v>1.8473579746976205</c:v>
                </c:pt>
                <c:pt idx="137">
                  <c:v>1.838383071853112</c:v>
                </c:pt>
                <c:pt idx="138">
                  <c:v>1.8291164185210671</c:v>
                </c:pt>
                <c:pt idx="139">
                  <c:v>1.8195535572113966</c:v>
                </c:pt>
                <c:pt idx="140">
                  <c:v>1.8096897922152342</c:v>
                </c:pt>
                <c:pt idx="141">
                  <c:v>1.7995201754816335</c:v>
                </c:pt>
                <c:pt idx="142">
                  <c:v>1.7890394912670149</c:v>
                </c:pt>
                <c:pt idx="143">
                  <c:v>1.7782422394292883</c:v>
                </c:pt>
                <c:pt idx="144">
                  <c:v>1.7671226172221615</c:v>
                </c:pt>
                <c:pt idx="145">
                  <c:v>1.7556744994262954</c:v>
                </c:pt>
                <c:pt idx="146">
                  <c:v>1.7438914166322121</c:v>
                </c:pt>
                <c:pt idx="147">
                  <c:v>1.7317665314647048</c:v>
                </c:pt>
                <c:pt idx="148">
                  <c:v>1.7192926125093266</c:v>
                </c:pt>
                <c:pt idx="149">
                  <c:v>1.706462005667591</c:v>
                </c:pt>
                <c:pt idx="150">
                  <c:v>1.6932666026278993</c:v>
                </c:pt>
                <c:pt idx="151">
                  <c:v>1.679697806092828</c:v>
                </c:pt>
                <c:pt idx="152">
                  <c:v>1.665746491348894</c:v>
                </c:pt>
                <c:pt idx="153">
                  <c:v>1.6514029637006538</c:v>
                </c:pt>
                <c:pt idx="154">
                  <c:v>1.636656911214905</c:v>
                </c:pt>
                <c:pt idx="155">
                  <c:v>1.6214973521303651</c:v>
                </c:pt>
                <c:pt idx="156">
                  <c:v>1.6059125761803212</c:v>
                </c:pt>
                <c:pt idx="157">
                  <c:v>1.5898900789464998</c:v>
                </c:pt>
                <c:pt idx="158">
                  <c:v>1.5734164882067809</c:v>
                </c:pt>
                <c:pt idx="159">
                  <c:v>1.5564774810511941</c:v>
                </c:pt>
                <c:pt idx="160">
                  <c:v>1.5390576903118485</c:v>
                </c:pt>
                <c:pt idx="161">
                  <c:v>1.5211405985728845</c:v>
                </c:pt>
                <c:pt idx="162">
                  <c:v>1.5027084176830063</c:v>
                </c:pt>
                <c:pt idx="163">
                  <c:v>1.4837419512685204</c:v>
                </c:pt>
                <c:pt idx="164">
                  <c:v>1.4642204372166534</c:v>
                </c:pt>
                <c:pt idx="165">
                  <c:v>1.4441213664376686</c:v>
                </c:pt>
                <c:pt idx="166">
                  <c:v>1.4234202733805399</c:v>
                </c:pt>
                <c:pt idx="167">
                  <c:v>1.4020904927178284</c:v>
                </c:pt>
                <c:pt idx="168">
                  <c:v>1.3801028752592228</c:v>
                </c:pt>
                <c:pt idx="169">
                  <c:v>1.3574254544017825</c:v>
                </c:pt>
                <c:pt idx="170">
                  <c:v>1.3340230521423</c:v>
                </c:pt>
                <c:pt idx="171">
                  <c:v>1.3098568106729414</c:v>
                </c:pt>
                <c:pt idx="172">
                  <c:v>1.2848836315852032</c:v>
                </c:pt>
                <c:pt idx="173">
                  <c:v>1.2590554993307217</c:v>
                </c:pt>
                <c:pt idx="174">
                  <c:v>1.2323186582634966</c:v>
                </c:pt>
                <c:pt idx="175">
                  <c:v>1.2046126024759229</c:v>
                </c:pt>
                <c:pt idx="176">
                  <c:v>1.175868823471967</c:v>
                </c:pt>
                <c:pt idx="177">
                  <c:v>1.1460092405443074</c:v>
                </c:pt>
                <c:pt idx="178">
                  <c:v>1.1149442094753403</c:v>
                </c:pt>
                <c:pt idx="179">
                  <c:v>1.0825699619434781</c:v>
                </c:pt>
                <c:pt idx="180">
                  <c:v>1.0487652626741961</c:v>
                </c:pt>
                <c:pt idx="181">
                  <c:v>1.0133869701707772</c:v>
                </c:pt>
                <c:pt idx="182">
                  <c:v>0.97626402569274229</c:v>
                </c:pt>
                <c:pt idx="183">
                  <c:v>0.93718913024093031</c:v>
                </c:pt>
                <c:pt idx="184">
                  <c:v>0.8959069177385357</c:v>
                </c:pt>
                <c:pt idx="185">
                  <c:v>0.85209662955080134</c:v>
                </c:pt>
                <c:pt idx="186">
                  <c:v>0.80534579427843778</c:v>
                </c:pt>
                <c:pt idx="187">
                  <c:v>0.75510843728709565</c:v>
                </c:pt>
                <c:pt idx="188">
                  <c:v>0.70063498142214686</c:v>
                </c:pt>
                <c:pt idx="189">
                  <c:v>0.6408460998966321</c:v>
                </c:pt>
                <c:pt idx="190">
                  <c:v>0.57408343622081315</c:v>
                </c:pt>
                <c:pt idx="191">
                  <c:v>0.49754756673460709</c:v>
                </c:pt>
                <c:pt idx="192">
                  <c:v>0.40574510719664997</c:v>
                </c:pt>
                <c:pt idx="193">
                  <c:v>0.28425046050019537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22D-4848-9BD1-1350ADB3BC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9354064"/>
        <c:axId val="239352496"/>
      </c:areaChart>
      <c:catAx>
        <c:axId val="239354064"/>
        <c:scaling>
          <c:orientation val="minMax"/>
        </c:scaling>
        <c:delete val="1"/>
        <c:axPos val="b"/>
        <c:majorTickMark val="none"/>
        <c:minorTickMark val="none"/>
        <c:tickLblPos val="nextTo"/>
        <c:crossAx val="239352496"/>
        <c:crosses val="autoZero"/>
        <c:auto val="1"/>
        <c:lblAlgn val="ctr"/>
        <c:lblOffset val="100"/>
        <c:noMultiLvlLbl val="0"/>
      </c:catAx>
      <c:valAx>
        <c:axId val="239352496"/>
        <c:scaling>
          <c:orientation val="minMax"/>
          <c:max val="2"/>
          <c:min val="0"/>
        </c:scaling>
        <c:delete val="1"/>
        <c:axPos val="l"/>
        <c:numFmt formatCode="General" sourceLinked="1"/>
        <c:majorTickMark val="out"/>
        <c:minorTickMark val="none"/>
        <c:tickLblPos val="nextTo"/>
        <c:crossAx val="239354064"/>
        <c:crosses val="autoZero"/>
        <c:crossBetween val="midCat"/>
      </c:valAx>
      <c:spPr>
        <a:blipFill>
          <a:blip xmlns:r="http://schemas.openxmlformats.org/officeDocument/2006/relationships" r:embed="rId3"/>
          <a:stretch>
            <a:fillRect/>
          </a:stretch>
        </a:blipFill>
        <a:ln>
          <a:noFill/>
        </a:ln>
        <a:effectLst/>
      </c:spPr>
    </c:plotArea>
    <c:plotVisOnly val="0"/>
    <c:dispBlanksAs val="gap"/>
    <c:showDLblsOverMax val="0"/>
  </c:chart>
  <c:spPr>
    <a:solidFill>
      <a:schemeClr val="tx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CH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hyperlink" Target="https://www.astronomy-morsels.ch/morsels" TargetMode="External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jpeg"/><Relationship Id="rId13" Type="http://schemas.openxmlformats.org/officeDocument/2006/relationships/image" Target="../media/image15.jpeg"/><Relationship Id="rId3" Type="http://schemas.openxmlformats.org/officeDocument/2006/relationships/image" Target="../media/image5.jpeg"/><Relationship Id="rId7" Type="http://schemas.openxmlformats.org/officeDocument/2006/relationships/image" Target="../media/image9.jpeg"/><Relationship Id="rId12" Type="http://schemas.openxmlformats.org/officeDocument/2006/relationships/image" Target="../media/image14.jpeg"/><Relationship Id="rId17" Type="http://schemas.openxmlformats.org/officeDocument/2006/relationships/image" Target="../media/image19.jpeg"/><Relationship Id="rId2" Type="http://schemas.openxmlformats.org/officeDocument/2006/relationships/image" Target="../media/image4.jpeg"/><Relationship Id="rId16" Type="http://schemas.openxmlformats.org/officeDocument/2006/relationships/chart" Target="../charts/chart1.xml"/><Relationship Id="rId1" Type="http://schemas.openxmlformats.org/officeDocument/2006/relationships/image" Target="../media/image3.gif"/><Relationship Id="rId6" Type="http://schemas.openxmlformats.org/officeDocument/2006/relationships/image" Target="../media/image8.jpeg"/><Relationship Id="rId11" Type="http://schemas.openxmlformats.org/officeDocument/2006/relationships/image" Target="../media/image13.jpeg"/><Relationship Id="rId5" Type="http://schemas.openxmlformats.org/officeDocument/2006/relationships/image" Target="../media/image7.jpeg"/><Relationship Id="rId15" Type="http://schemas.openxmlformats.org/officeDocument/2006/relationships/image" Target="../media/image17.gif"/><Relationship Id="rId10" Type="http://schemas.openxmlformats.org/officeDocument/2006/relationships/image" Target="../media/image12.jpeg"/><Relationship Id="rId4" Type="http://schemas.openxmlformats.org/officeDocument/2006/relationships/image" Target="../media/image6.jpeg"/><Relationship Id="rId9" Type="http://schemas.openxmlformats.org/officeDocument/2006/relationships/image" Target="../media/image11.jpeg"/><Relationship Id="rId14" Type="http://schemas.openxmlformats.org/officeDocument/2006/relationships/image" Target="../media/image16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1.jpg"/><Relationship Id="rId1" Type="http://schemas.openxmlformats.org/officeDocument/2006/relationships/image" Target="../media/image20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18</xdr:row>
      <xdr:rowOff>88900</xdr:rowOff>
    </xdr:from>
    <xdr:ext cx="8634139" cy="5892800"/>
    <xdr:pic>
      <xdr:nvPicPr>
        <xdr:cNvPr id="2" name="Picture 1" descr="Phases of the Moon explained">
          <a:extLst>
            <a:ext uri="{FF2B5EF4-FFF2-40B4-BE49-F238E27FC236}">
              <a16:creationId xmlns:a16="http://schemas.microsoft.com/office/drawing/2014/main" id="{8EA3C129-B361-8B44-A264-269F738DB0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8500" y="2832100"/>
          <a:ext cx="8634139" cy="5892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2</xdr:col>
      <xdr:colOff>622300</xdr:colOff>
      <xdr:row>53</xdr:row>
      <xdr:rowOff>101600</xdr:rowOff>
    </xdr:from>
    <xdr:to>
      <xdr:col>8</xdr:col>
      <xdr:colOff>838200</xdr:colOff>
      <xdr:row>63</xdr:row>
      <xdr:rowOff>12700</xdr:rowOff>
    </xdr:to>
    <xdr:pic>
      <xdr:nvPicPr>
        <xdr:cNvPr id="3" name="Picture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7ECC9ED-6CAA-A177-1B8B-D12247A340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311400" y="10972800"/>
          <a:ext cx="5397500" cy="19431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9</xdr:col>
      <xdr:colOff>0</xdr:colOff>
      <xdr:row>0</xdr:row>
      <xdr:rowOff>0</xdr:rowOff>
    </xdr:from>
    <xdr:ext cx="2438400" cy="2311400"/>
    <xdr:pic>
      <xdr:nvPicPr>
        <xdr:cNvPr id="2" name="Picture 11" descr="http://lepmfi.gsfc.nasa.gov/mfi/lepedu/siteimg/all_planets.gif" hidden="1">
          <a:extLst>
            <a:ext uri="{FF2B5EF4-FFF2-40B4-BE49-F238E27FC236}">
              <a16:creationId xmlns:a16="http://schemas.microsoft.com/office/drawing/2014/main" id="{0D1445AD-9118-5D4B-A615-D96D77FE8A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57800" y="0"/>
          <a:ext cx="2438400" cy="2311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26</xdr:col>
      <xdr:colOff>12700</xdr:colOff>
      <xdr:row>6</xdr:row>
      <xdr:rowOff>0</xdr:rowOff>
    </xdr:from>
    <xdr:ext cx="635000" cy="495300"/>
    <xdr:pic>
      <xdr:nvPicPr>
        <xdr:cNvPr id="3" name="Picture 14" descr="http://upload.wikimedia.org/wikipedia/commons/thumb/a/aa/Sun920607.jpg/100px-Sun920607.jpg" hidden="1">
          <a:extLst>
            <a:ext uri="{FF2B5EF4-FFF2-40B4-BE49-F238E27FC236}">
              <a16:creationId xmlns:a16="http://schemas.microsoft.com/office/drawing/2014/main" id="{706FE7DB-4ECF-F248-9185-436831560B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01900" y="762000"/>
          <a:ext cx="63500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27</xdr:col>
      <xdr:colOff>0</xdr:colOff>
      <xdr:row>6</xdr:row>
      <xdr:rowOff>0</xdr:rowOff>
    </xdr:from>
    <xdr:ext cx="622300" cy="647700"/>
    <xdr:pic>
      <xdr:nvPicPr>
        <xdr:cNvPr id="4" name="Picture 15" descr="http://upload.wikimedia.org/wikipedia/commons/thumb/d/dd/Full_Moon_Luc_Viatour.jpg/100px-Full_Moon_Luc_Viatour.jpg" hidden="1">
          <a:extLst>
            <a:ext uri="{FF2B5EF4-FFF2-40B4-BE49-F238E27FC236}">
              <a16:creationId xmlns:a16="http://schemas.microsoft.com/office/drawing/2014/main" id="{7B7DED06-8BE4-C141-B2C6-AAB263F892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73400" y="762000"/>
          <a:ext cx="62230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27</xdr:col>
      <xdr:colOff>0</xdr:colOff>
      <xdr:row>6</xdr:row>
      <xdr:rowOff>0</xdr:rowOff>
    </xdr:from>
    <xdr:ext cx="609600" cy="622300"/>
    <xdr:pic>
      <xdr:nvPicPr>
        <xdr:cNvPr id="5" name="Picture 16" descr="http://upload.wikimedia.org/wikipedia/commons/thumb/3/30/Mercury_in_color_-_Prockter07_centered.jpg/100px-Mercury_in_color_-_Prockter07_centered.jpg" hidden="1">
          <a:extLst>
            <a:ext uri="{FF2B5EF4-FFF2-40B4-BE49-F238E27FC236}">
              <a16:creationId xmlns:a16="http://schemas.microsoft.com/office/drawing/2014/main" id="{BE9A9A4F-47E4-F94C-ADDF-64C5D15B77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73400" y="762000"/>
          <a:ext cx="609600" cy="622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27</xdr:col>
      <xdr:colOff>0</xdr:colOff>
      <xdr:row>6</xdr:row>
      <xdr:rowOff>0</xdr:rowOff>
    </xdr:from>
    <xdr:ext cx="723900" cy="647700"/>
    <xdr:pic>
      <xdr:nvPicPr>
        <xdr:cNvPr id="6" name="Picture 17" descr="http://upload.wikimedia.org/wikipedia/commons/thumb/5/51/Venus-real.jpg/100px-Venus-real.jpg" hidden="1">
          <a:extLst>
            <a:ext uri="{FF2B5EF4-FFF2-40B4-BE49-F238E27FC236}">
              <a16:creationId xmlns:a16="http://schemas.microsoft.com/office/drawing/2014/main" id="{8023B616-A12D-4E42-B595-C1A13DF92B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73400" y="762000"/>
          <a:ext cx="72390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27</xdr:col>
      <xdr:colOff>0</xdr:colOff>
      <xdr:row>6</xdr:row>
      <xdr:rowOff>0</xdr:rowOff>
    </xdr:from>
    <xdr:ext cx="622300" cy="584200"/>
    <xdr:pic>
      <xdr:nvPicPr>
        <xdr:cNvPr id="7" name="Picture 18" descr="http://upload.wikimedia.org/wikipedia/commons/thumb/7/76/Mars_Hubble.jpg/100px-Mars_Hubble.jpg" hidden="1">
          <a:extLst>
            <a:ext uri="{FF2B5EF4-FFF2-40B4-BE49-F238E27FC236}">
              <a16:creationId xmlns:a16="http://schemas.microsoft.com/office/drawing/2014/main" id="{6F57DE17-F21B-C346-9DCB-26CA0ECF29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73400" y="762000"/>
          <a:ext cx="62230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27</xdr:col>
      <xdr:colOff>0</xdr:colOff>
      <xdr:row>6</xdr:row>
      <xdr:rowOff>0</xdr:rowOff>
    </xdr:from>
    <xdr:ext cx="723900" cy="660400"/>
    <xdr:pic>
      <xdr:nvPicPr>
        <xdr:cNvPr id="8" name="Picture 19" descr="http://upload.wikimedia.org/wikipedia/commons/thumb/e/e2/Jupiter.jpg/100px-Jupiter.jpg" hidden="1">
          <a:extLst>
            <a:ext uri="{FF2B5EF4-FFF2-40B4-BE49-F238E27FC236}">
              <a16:creationId xmlns:a16="http://schemas.microsoft.com/office/drawing/2014/main" id="{6A2D6AA0-0DFC-AF42-86F8-84D34C03B2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73400" y="762000"/>
          <a:ext cx="723900" cy="660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28</xdr:col>
      <xdr:colOff>0</xdr:colOff>
      <xdr:row>6</xdr:row>
      <xdr:rowOff>0</xdr:rowOff>
    </xdr:from>
    <xdr:ext cx="736600" cy="660400"/>
    <xdr:pic>
      <xdr:nvPicPr>
        <xdr:cNvPr id="9" name="Picture 21" descr="http://upload.wikimedia.org/wikipedia/commons/thumb/3/3d/Uranus2.jpg/100px-Uranus2.jpg" hidden="1">
          <a:extLst>
            <a:ext uri="{FF2B5EF4-FFF2-40B4-BE49-F238E27FC236}">
              <a16:creationId xmlns:a16="http://schemas.microsoft.com/office/drawing/2014/main" id="{426AACB6-F14F-8145-9A2B-5AAB6BC7C2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57600" y="762000"/>
          <a:ext cx="736600" cy="660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28</xdr:col>
      <xdr:colOff>25400</xdr:colOff>
      <xdr:row>6</xdr:row>
      <xdr:rowOff>0</xdr:rowOff>
    </xdr:from>
    <xdr:ext cx="711200" cy="622300"/>
    <xdr:pic>
      <xdr:nvPicPr>
        <xdr:cNvPr id="10" name="Picture 22" descr="http://upload.wikimedia.org/wikipedia/commons/thumb/0/06/Neptune.jpg/100px-Neptune.jpg" hidden="1">
          <a:extLst>
            <a:ext uri="{FF2B5EF4-FFF2-40B4-BE49-F238E27FC236}">
              <a16:creationId xmlns:a16="http://schemas.microsoft.com/office/drawing/2014/main" id="{036FCA13-EF5E-8C47-AF23-E71CD1325D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83000" y="762000"/>
          <a:ext cx="711200" cy="622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29</xdr:col>
      <xdr:colOff>12700</xdr:colOff>
      <xdr:row>6</xdr:row>
      <xdr:rowOff>0</xdr:rowOff>
    </xdr:from>
    <xdr:ext cx="635000" cy="660400"/>
    <xdr:pic>
      <xdr:nvPicPr>
        <xdr:cNvPr id="11" name="Picture 23" descr="http://upload.wikimedia.org/wikipedia/en/thumb/9/90/Pluto2.jpg/100px-Pluto2.jpg" hidden="1">
          <a:extLst>
            <a:ext uri="{FF2B5EF4-FFF2-40B4-BE49-F238E27FC236}">
              <a16:creationId xmlns:a16="http://schemas.microsoft.com/office/drawing/2014/main" id="{468C7DD3-4D26-724D-85C3-1754C53543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54500" y="762000"/>
          <a:ext cx="635000" cy="660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27</xdr:col>
      <xdr:colOff>0</xdr:colOff>
      <xdr:row>6</xdr:row>
      <xdr:rowOff>0</xdr:rowOff>
    </xdr:from>
    <xdr:ext cx="736600" cy="495300"/>
    <xdr:pic>
      <xdr:nvPicPr>
        <xdr:cNvPr id="12" name="Picture 24" descr="http://www.planetengrund.net/desktophintergrund/small/planeten/saturn03_1024.jpg" hidden="1">
          <a:extLst>
            <a:ext uri="{FF2B5EF4-FFF2-40B4-BE49-F238E27FC236}">
              <a16:creationId xmlns:a16="http://schemas.microsoft.com/office/drawing/2014/main" id="{01AF23AC-31B4-054F-9EFE-B7367316F5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73400" y="762000"/>
          <a:ext cx="73660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9</xdr:col>
      <xdr:colOff>0</xdr:colOff>
      <xdr:row>0</xdr:row>
      <xdr:rowOff>0</xdr:rowOff>
    </xdr:from>
    <xdr:ext cx="2298700" cy="2324100"/>
    <xdr:pic>
      <xdr:nvPicPr>
        <xdr:cNvPr id="13" name="Picture 12" descr="SolarSystem.jpg" hidden="1">
          <a:extLst>
            <a:ext uri="{FF2B5EF4-FFF2-40B4-BE49-F238E27FC236}">
              <a16:creationId xmlns:a16="http://schemas.microsoft.com/office/drawing/2014/main" id="{0DE6B6E3-F9DD-6044-8B10-6012BBCD41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57800" y="0"/>
          <a:ext cx="2298700" cy="2324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3136900" cy="2019300"/>
    <xdr:pic>
      <xdr:nvPicPr>
        <xdr:cNvPr id="14" name="Picture 13" descr="SolarSystem2.jpg" hidden="1">
          <a:extLst>
            <a:ext uri="{FF2B5EF4-FFF2-40B4-BE49-F238E27FC236}">
              <a16:creationId xmlns:a16="http://schemas.microsoft.com/office/drawing/2014/main" id="{377FD01A-11A9-404C-8C4F-694AADD5A0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6800" y="0"/>
          <a:ext cx="3136900" cy="2019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9</xdr:col>
      <xdr:colOff>0</xdr:colOff>
      <xdr:row>0</xdr:row>
      <xdr:rowOff>0</xdr:rowOff>
    </xdr:from>
    <xdr:ext cx="2209800" cy="2324100"/>
    <xdr:pic>
      <xdr:nvPicPr>
        <xdr:cNvPr id="15" name="Picture 14" descr="SolarSystem.jpg" hidden="1">
          <a:extLst>
            <a:ext uri="{FF2B5EF4-FFF2-40B4-BE49-F238E27FC236}">
              <a16:creationId xmlns:a16="http://schemas.microsoft.com/office/drawing/2014/main" id="{F8407CB4-2621-144B-BBBC-79EE130D87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57800" y="0"/>
          <a:ext cx="2209800" cy="2324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114300</xdr:colOff>
      <xdr:row>0</xdr:row>
      <xdr:rowOff>0</xdr:rowOff>
    </xdr:from>
    <xdr:ext cx="3124200" cy="2019300"/>
    <xdr:pic>
      <xdr:nvPicPr>
        <xdr:cNvPr id="16" name="Picture 15" descr="SolarSystem2.jpg" hidden="1">
          <a:extLst>
            <a:ext uri="{FF2B5EF4-FFF2-40B4-BE49-F238E27FC236}">
              <a16:creationId xmlns:a16="http://schemas.microsoft.com/office/drawing/2014/main" id="{7A6F4301-617C-D14B-9704-3F16304336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51100" y="0"/>
          <a:ext cx="3124200" cy="2019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0</xdr:colOff>
      <xdr:row>0</xdr:row>
      <xdr:rowOff>0</xdr:rowOff>
    </xdr:from>
    <xdr:ext cx="3111500" cy="2019300"/>
    <xdr:pic>
      <xdr:nvPicPr>
        <xdr:cNvPr id="17" name="Picture 16" descr="SolarSystem2.jpg" hidden="1">
          <a:extLst>
            <a:ext uri="{FF2B5EF4-FFF2-40B4-BE49-F238E27FC236}">
              <a16:creationId xmlns:a16="http://schemas.microsoft.com/office/drawing/2014/main" id="{89F6DABD-E215-EA42-BF4E-0FD840B4E4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1000" y="0"/>
          <a:ext cx="3111500" cy="2019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0</xdr:colOff>
      <xdr:row>0</xdr:row>
      <xdr:rowOff>0</xdr:rowOff>
    </xdr:from>
    <xdr:ext cx="3098800" cy="2019300"/>
    <xdr:pic>
      <xdr:nvPicPr>
        <xdr:cNvPr id="18" name="Picture 17" descr="SolarSystem2.jpg" hidden="1">
          <a:extLst>
            <a:ext uri="{FF2B5EF4-FFF2-40B4-BE49-F238E27FC236}">
              <a16:creationId xmlns:a16="http://schemas.microsoft.com/office/drawing/2014/main" id="{106F44DC-76A8-8447-93FB-E494E7A185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05200" y="0"/>
          <a:ext cx="3098800" cy="2019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26</xdr:col>
      <xdr:colOff>0</xdr:colOff>
      <xdr:row>6</xdr:row>
      <xdr:rowOff>0</xdr:rowOff>
    </xdr:from>
    <xdr:ext cx="1371600" cy="1028700"/>
    <xdr:pic>
      <xdr:nvPicPr>
        <xdr:cNvPr id="19" name="Picture 18" descr="Saturn.jpg" hidden="1">
          <a:extLst>
            <a:ext uri="{FF2B5EF4-FFF2-40B4-BE49-F238E27FC236}">
              <a16:creationId xmlns:a16="http://schemas.microsoft.com/office/drawing/2014/main" id="{E154E9AF-BBEF-BE49-96F2-9DFDC70CA2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89200" y="762000"/>
          <a:ext cx="137160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27</xdr:col>
      <xdr:colOff>0</xdr:colOff>
      <xdr:row>6</xdr:row>
      <xdr:rowOff>0</xdr:rowOff>
    </xdr:from>
    <xdr:ext cx="1130300" cy="990600"/>
    <xdr:pic>
      <xdr:nvPicPr>
        <xdr:cNvPr id="20" name="MoonNewMoon" descr="MoonNew.gif" hidden="1">
          <a:extLst>
            <a:ext uri="{FF2B5EF4-FFF2-40B4-BE49-F238E27FC236}">
              <a16:creationId xmlns:a16="http://schemas.microsoft.com/office/drawing/2014/main" id="{C0629606-7654-FE40-95EA-44264BAA96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73400" y="762000"/>
          <a:ext cx="1130300" cy="99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0</xdr:colOff>
      <xdr:row>0</xdr:row>
      <xdr:rowOff>0</xdr:rowOff>
    </xdr:from>
    <xdr:ext cx="1447800" cy="1308100"/>
    <xdr:pic>
      <xdr:nvPicPr>
        <xdr:cNvPr id="21" name="Picture 20" descr="Jupiter.jpg" hidden="1">
          <a:extLst>
            <a:ext uri="{FF2B5EF4-FFF2-40B4-BE49-F238E27FC236}">
              <a16:creationId xmlns:a16="http://schemas.microsoft.com/office/drawing/2014/main" id="{A92D1B66-7212-454B-AA20-2418625C13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05200" y="0"/>
          <a:ext cx="1447800" cy="130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26</xdr:col>
      <xdr:colOff>0</xdr:colOff>
      <xdr:row>6</xdr:row>
      <xdr:rowOff>0</xdr:rowOff>
    </xdr:from>
    <xdr:ext cx="1041400" cy="990600"/>
    <xdr:pic>
      <xdr:nvPicPr>
        <xdr:cNvPr id="22" name="Picture 21" descr="MoonNew.gif" hidden="1">
          <a:extLst>
            <a:ext uri="{FF2B5EF4-FFF2-40B4-BE49-F238E27FC236}">
              <a16:creationId xmlns:a16="http://schemas.microsoft.com/office/drawing/2014/main" id="{30E07614-B604-D54C-8E2B-D9DA3E2362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89200" y="762000"/>
          <a:ext cx="1041400" cy="99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647700</xdr:colOff>
      <xdr:row>0</xdr:row>
      <xdr:rowOff>0</xdr:rowOff>
    </xdr:from>
    <xdr:ext cx="3213100" cy="2019300"/>
    <xdr:pic>
      <xdr:nvPicPr>
        <xdr:cNvPr id="23" name="Picture 22" descr="SolarSystem2.jpg" hidden="1">
          <a:extLst>
            <a:ext uri="{FF2B5EF4-FFF2-40B4-BE49-F238E27FC236}">
              <a16:creationId xmlns:a16="http://schemas.microsoft.com/office/drawing/2014/main" id="{AB8AF564-2AEE-504B-843E-F0E1962233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1000" y="0"/>
          <a:ext cx="3213100" cy="2019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647700</xdr:colOff>
      <xdr:row>0</xdr:row>
      <xdr:rowOff>0</xdr:rowOff>
    </xdr:from>
    <xdr:ext cx="3213100" cy="2019300"/>
    <xdr:pic>
      <xdr:nvPicPr>
        <xdr:cNvPr id="24" name="Picture 23" descr="SolarSystem2.jpg" hidden="1">
          <a:extLst>
            <a:ext uri="{FF2B5EF4-FFF2-40B4-BE49-F238E27FC236}">
              <a16:creationId xmlns:a16="http://schemas.microsoft.com/office/drawing/2014/main" id="{77B55D16-436E-6345-A711-A3BC07F7D6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1000" y="0"/>
          <a:ext cx="3213100" cy="2019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0</xdr:colOff>
      <xdr:row>0</xdr:row>
      <xdr:rowOff>0</xdr:rowOff>
    </xdr:from>
    <xdr:ext cx="2451100" cy="2171700"/>
    <xdr:pic>
      <xdr:nvPicPr>
        <xdr:cNvPr id="25" name="Picture 11" descr="http://lepmfi.gsfc.nasa.gov/mfi/lepedu/siteimg/all_planets.gif" hidden="1">
          <a:extLst>
            <a:ext uri="{FF2B5EF4-FFF2-40B4-BE49-F238E27FC236}">
              <a16:creationId xmlns:a16="http://schemas.microsoft.com/office/drawing/2014/main" id="{F0944CEB-C1F5-F14D-A1AA-C9E7D3EA9B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05200" y="0"/>
          <a:ext cx="2451100" cy="2171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0</xdr:colOff>
      <xdr:row>0</xdr:row>
      <xdr:rowOff>0</xdr:rowOff>
    </xdr:from>
    <xdr:ext cx="2311400" cy="2184400"/>
    <xdr:pic>
      <xdr:nvPicPr>
        <xdr:cNvPr id="26" name="Picture 25" descr="SolarSystem.jpg" hidden="1">
          <a:extLst>
            <a:ext uri="{FF2B5EF4-FFF2-40B4-BE49-F238E27FC236}">
              <a16:creationId xmlns:a16="http://schemas.microsoft.com/office/drawing/2014/main" id="{EFC72995-46DF-154C-881F-3A792DE086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05200" y="0"/>
          <a:ext cx="2311400" cy="218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0</xdr:colOff>
      <xdr:row>0</xdr:row>
      <xdr:rowOff>0</xdr:rowOff>
    </xdr:from>
    <xdr:ext cx="2209800" cy="2184400"/>
    <xdr:pic>
      <xdr:nvPicPr>
        <xdr:cNvPr id="27" name="Picture 26" descr="SolarSystem.jpg" hidden="1">
          <a:extLst>
            <a:ext uri="{FF2B5EF4-FFF2-40B4-BE49-F238E27FC236}">
              <a16:creationId xmlns:a16="http://schemas.microsoft.com/office/drawing/2014/main" id="{0F78BBF2-BD59-434E-BFA9-1D50503BC5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05200" y="0"/>
          <a:ext cx="2209800" cy="218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30</xdr:col>
      <xdr:colOff>0</xdr:colOff>
      <xdr:row>6</xdr:row>
      <xdr:rowOff>0</xdr:rowOff>
    </xdr:from>
    <xdr:ext cx="723900" cy="596900"/>
    <xdr:pic>
      <xdr:nvPicPr>
        <xdr:cNvPr id="28" name="Picture 21" descr="http://upload.wikimedia.org/wikipedia/commons/thumb/3/3d/Uranus2.jpg/100px-Uranus2.jpg" hidden="1">
          <a:extLst>
            <a:ext uri="{FF2B5EF4-FFF2-40B4-BE49-F238E27FC236}">
              <a16:creationId xmlns:a16="http://schemas.microsoft.com/office/drawing/2014/main" id="{16381774-A7D8-4745-B8B4-F834D07A59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26000" y="762000"/>
          <a:ext cx="723900" cy="596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30</xdr:col>
      <xdr:colOff>25400</xdr:colOff>
      <xdr:row>6</xdr:row>
      <xdr:rowOff>0</xdr:rowOff>
    </xdr:from>
    <xdr:ext cx="711200" cy="558800"/>
    <xdr:pic>
      <xdr:nvPicPr>
        <xdr:cNvPr id="29" name="Picture 22" descr="http://upload.wikimedia.org/wikipedia/commons/thumb/0/06/Neptune.jpg/100px-Neptune.jpg" hidden="1">
          <a:extLst>
            <a:ext uri="{FF2B5EF4-FFF2-40B4-BE49-F238E27FC236}">
              <a16:creationId xmlns:a16="http://schemas.microsoft.com/office/drawing/2014/main" id="{2C5BEBCD-5231-204E-8BE8-D9C065AA3E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51400" y="762000"/>
          <a:ext cx="711200" cy="558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31</xdr:col>
      <xdr:colOff>12700</xdr:colOff>
      <xdr:row>6</xdr:row>
      <xdr:rowOff>0</xdr:rowOff>
    </xdr:from>
    <xdr:ext cx="635000" cy="584200"/>
    <xdr:pic>
      <xdr:nvPicPr>
        <xdr:cNvPr id="30" name="Picture 23" descr="http://upload.wikimedia.org/wikipedia/en/thumb/9/90/Pluto2.jpg/100px-Pluto2.jpg" hidden="1">
          <a:extLst>
            <a:ext uri="{FF2B5EF4-FFF2-40B4-BE49-F238E27FC236}">
              <a16:creationId xmlns:a16="http://schemas.microsoft.com/office/drawing/2014/main" id="{4BEAD9FF-363D-CA43-972D-C49AAB68F6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122900" y="762000"/>
          <a:ext cx="63500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8</xdr:col>
      <xdr:colOff>0</xdr:colOff>
      <xdr:row>0</xdr:row>
      <xdr:rowOff>0</xdr:rowOff>
    </xdr:from>
    <xdr:ext cx="3111500" cy="1866900"/>
    <xdr:pic>
      <xdr:nvPicPr>
        <xdr:cNvPr id="31" name="Picture 30" descr="SolarSystem2.jpg" hidden="1">
          <a:extLst>
            <a:ext uri="{FF2B5EF4-FFF2-40B4-BE49-F238E27FC236}">
              <a16:creationId xmlns:a16="http://schemas.microsoft.com/office/drawing/2014/main" id="{97069C62-3BE3-3B44-A0A8-554E384E35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73600" y="0"/>
          <a:ext cx="3111500" cy="1866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29</xdr:col>
      <xdr:colOff>0</xdr:colOff>
      <xdr:row>6</xdr:row>
      <xdr:rowOff>0</xdr:rowOff>
    </xdr:from>
    <xdr:ext cx="1447800" cy="1143000"/>
    <xdr:pic>
      <xdr:nvPicPr>
        <xdr:cNvPr id="32" name="Picture 31" descr="Jupiter.jpg" hidden="1">
          <a:extLst>
            <a:ext uri="{FF2B5EF4-FFF2-40B4-BE49-F238E27FC236}">
              <a16:creationId xmlns:a16="http://schemas.microsoft.com/office/drawing/2014/main" id="{AC3433F7-82A9-1542-A183-F1ADBD7AC9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41800" y="762000"/>
          <a:ext cx="1447800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8</xdr:col>
      <xdr:colOff>0</xdr:colOff>
      <xdr:row>0</xdr:row>
      <xdr:rowOff>0</xdr:rowOff>
    </xdr:from>
    <xdr:ext cx="2451100" cy="2171700"/>
    <xdr:pic>
      <xdr:nvPicPr>
        <xdr:cNvPr id="33" name="Picture 11" descr="http://lepmfi.gsfc.nasa.gov/mfi/lepedu/siteimg/all_planets.gif" hidden="1">
          <a:extLst>
            <a:ext uri="{FF2B5EF4-FFF2-40B4-BE49-F238E27FC236}">
              <a16:creationId xmlns:a16="http://schemas.microsoft.com/office/drawing/2014/main" id="{14E1436E-3B4E-FA4A-94E7-80EBAE5F49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73600" y="0"/>
          <a:ext cx="2451100" cy="2171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8</xdr:col>
      <xdr:colOff>0</xdr:colOff>
      <xdr:row>0</xdr:row>
      <xdr:rowOff>0</xdr:rowOff>
    </xdr:from>
    <xdr:ext cx="2311400" cy="2184400"/>
    <xdr:pic>
      <xdr:nvPicPr>
        <xdr:cNvPr id="34" name="Picture 33" descr="SolarSystem.jpg" hidden="1">
          <a:extLst>
            <a:ext uri="{FF2B5EF4-FFF2-40B4-BE49-F238E27FC236}">
              <a16:creationId xmlns:a16="http://schemas.microsoft.com/office/drawing/2014/main" id="{19789221-C0C2-3E4E-AA5E-49F40CA595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73600" y="0"/>
          <a:ext cx="2311400" cy="218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8</xdr:col>
      <xdr:colOff>0</xdr:colOff>
      <xdr:row>0</xdr:row>
      <xdr:rowOff>0</xdr:rowOff>
    </xdr:from>
    <xdr:ext cx="2209800" cy="2184400"/>
    <xdr:pic>
      <xdr:nvPicPr>
        <xdr:cNvPr id="35" name="Picture 34" descr="SolarSystem.jpg" hidden="1">
          <a:extLst>
            <a:ext uri="{FF2B5EF4-FFF2-40B4-BE49-F238E27FC236}">
              <a16:creationId xmlns:a16="http://schemas.microsoft.com/office/drawing/2014/main" id="{94157A46-AE61-BD49-9FA6-E0A8A840B7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73600" y="0"/>
          <a:ext cx="2209800" cy="218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32</xdr:col>
      <xdr:colOff>0</xdr:colOff>
      <xdr:row>6</xdr:row>
      <xdr:rowOff>0</xdr:rowOff>
    </xdr:from>
    <xdr:ext cx="723900" cy="596900"/>
    <xdr:pic>
      <xdr:nvPicPr>
        <xdr:cNvPr id="36" name="Picture 21" descr="http://upload.wikimedia.org/wikipedia/commons/thumb/3/3d/Uranus2.jpg/100px-Uranus2.jpg" hidden="1">
          <a:extLst>
            <a:ext uri="{FF2B5EF4-FFF2-40B4-BE49-F238E27FC236}">
              <a16:creationId xmlns:a16="http://schemas.microsoft.com/office/drawing/2014/main" id="{3E027632-DBB4-FD4A-B7BC-1D39EDBC73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94400" y="762000"/>
          <a:ext cx="723900" cy="596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32</xdr:col>
      <xdr:colOff>25400</xdr:colOff>
      <xdr:row>6</xdr:row>
      <xdr:rowOff>0</xdr:rowOff>
    </xdr:from>
    <xdr:ext cx="711200" cy="558800"/>
    <xdr:pic>
      <xdr:nvPicPr>
        <xdr:cNvPr id="37" name="Picture 22" descr="http://upload.wikimedia.org/wikipedia/commons/thumb/0/06/Neptune.jpg/100px-Neptune.jpg" hidden="1">
          <a:extLst>
            <a:ext uri="{FF2B5EF4-FFF2-40B4-BE49-F238E27FC236}">
              <a16:creationId xmlns:a16="http://schemas.microsoft.com/office/drawing/2014/main" id="{105EF076-0EEB-3342-B194-B167E2856A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719800" y="762000"/>
          <a:ext cx="711200" cy="558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33</xdr:col>
      <xdr:colOff>12700</xdr:colOff>
      <xdr:row>6</xdr:row>
      <xdr:rowOff>0</xdr:rowOff>
    </xdr:from>
    <xdr:ext cx="635000" cy="584200"/>
    <xdr:pic>
      <xdr:nvPicPr>
        <xdr:cNvPr id="38" name="Picture 23" descr="http://upload.wikimedia.org/wikipedia/en/thumb/9/90/Pluto2.jpg/100px-Pluto2.jpg" hidden="1">
          <a:extLst>
            <a:ext uri="{FF2B5EF4-FFF2-40B4-BE49-F238E27FC236}">
              <a16:creationId xmlns:a16="http://schemas.microsoft.com/office/drawing/2014/main" id="{95AD49B2-3B47-3047-B474-E30C27781E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91300" y="762000"/>
          <a:ext cx="63500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0</xdr:colOff>
      <xdr:row>0</xdr:row>
      <xdr:rowOff>0</xdr:rowOff>
    </xdr:from>
    <xdr:ext cx="3111500" cy="1866900"/>
    <xdr:pic>
      <xdr:nvPicPr>
        <xdr:cNvPr id="39" name="Picture 38" descr="SolarSystem2.jpg" hidden="1">
          <a:extLst>
            <a:ext uri="{FF2B5EF4-FFF2-40B4-BE49-F238E27FC236}">
              <a16:creationId xmlns:a16="http://schemas.microsoft.com/office/drawing/2014/main" id="{D2A4AE97-BB65-F348-8C61-01A4E74D7A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42000" y="0"/>
          <a:ext cx="3111500" cy="1866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31</xdr:col>
      <xdr:colOff>0</xdr:colOff>
      <xdr:row>6</xdr:row>
      <xdr:rowOff>0</xdr:rowOff>
    </xdr:from>
    <xdr:ext cx="1447800" cy="1143000"/>
    <xdr:pic>
      <xdr:nvPicPr>
        <xdr:cNvPr id="40" name="Picture 39" descr="Jupiter.jpg" hidden="1">
          <a:extLst>
            <a:ext uri="{FF2B5EF4-FFF2-40B4-BE49-F238E27FC236}">
              <a16:creationId xmlns:a16="http://schemas.microsoft.com/office/drawing/2014/main" id="{6F91CD88-3B08-C94D-8AFA-9126403B84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110200" y="762000"/>
          <a:ext cx="1447800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0</xdr:colOff>
      <xdr:row>0</xdr:row>
      <xdr:rowOff>0</xdr:rowOff>
    </xdr:from>
    <xdr:ext cx="2451100" cy="2171700"/>
    <xdr:pic>
      <xdr:nvPicPr>
        <xdr:cNvPr id="41" name="Picture 11" descr="http://lepmfi.gsfc.nasa.gov/mfi/lepedu/siteimg/all_planets.gif" hidden="1">
          <a:extLst>
            <a:ext uri="{FF2B5EF4-FFF2-40B4-BE49-F238E27FC236}">
              <a16:creationId xmlns:a16="http://schemas.microsoft.com/office/drawing/2014/main" id="{DF0AD27D-C817-AD41-A833-27BF757EAB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42000" y="0"/>
          <a:ext cx="2451100" cy="2171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0</xdr:colOff>
      <xdr:row>0</xdr:row>
      <xdr:rowOff>0</xdr:rowOff>
    </xdr:from>
    <xdr:ext cx="2311400" cy="2184400"/>
    <xdr:pic>
      <xdr:nvPicPr>
        <xdr:cNvPr id="42" name="Picture 41" descr="SolarSystem.jpg" hidden="1">
          <a:extLst>
            <a:ext uri="{FF2B5EF4-FFF2-40B4-BE49-F238E27FC236}">
              <a16:creationId xmlns:a16="http://schemas.microsoft.com/office/drawing/2014/main" id="{7EDD0184-392B-BF44-B6BC-2CE73CD018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42000" y="0"/>
          <a:ext cx="2311400" cy="218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0</xdr:colOff>
      <xdr:row>0</xdr:row>
      <xdr:rowOff>0</xdr:rowOff>
    </xdr:from>
    <xdr:ext cx="2209800" cy="2184400"/>
    <xdr:pic>
      <xdr:nvPicPr>
        <xdr:cNvPr id="43" name="Picture 42" descr="SolarSystem.jpg" hidden="1">
          <a:extLst>
            <a:ext uri="{FF2B5EF4-FFF2-40B4-BE49-F238E27FC236}">
              <a16:creationId xmlns:a16="http://schemas.microsoft.com/office/drawing/2014/main" id="{4AB0C8C0-912F-E247-87ED-710B9D5DFB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42000" y="0"/>
          <a:ext cx="2209800" cy="218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12</xdr:col>
      <xdr:colOff>0</xdr:colOff>
      <xdr:row>0</xdr:row>
      <xdr:rowOff>0</xdr:rowOff>
    </xdr:from>
    <xdr:ext cx="1447800" cy="1143000"/>
    <xdr:pic>
      <xdr:nvPicPr>
        <xdr:cNvPr id="44" name="Picture 43" descr="Jupiter.jpg" hidden="1">
          <a:extLst>
            <a:ext uri="{FF2B5EF4-FFF2-40B4-BE49-F238E27FC236}">
              <a16:creationId xmlns:a16="http://schemas.microsoft.com/office/drawing/2014/main" id="{6FDE386E-5B87-924B-A3D9-49A827E9F7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0"/>
          <a:ext cx="1447800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34</xdr:col>
      <xdr:colOff>0</xdr:colOff>
      <xdr:row>6</xdr:row>
      <xdr:rowOff>0</xdr:rowOff>
    </xdr:from>
    <xdr:ext cx="723900" cy="596900"/>
    <xdr:pic>
      <xdr:nvPicPr>
        <xdr:cNvPr id="45" name="Picture 21" descr="http://upload.wikimedia.org/wikipedia/commons/thumb/3/3d/Uranus2.jpg/100px-Uranus2.jpg" hidden="1">
          <a:extLst>
            <a:ext uri="{FF2B5EF4-FFF2-40B4-BE49-F238E27FC236}">
              <a16:creationId xmlns:a16="http://schemas.microsoft.com/office/drawing/2014/main" id="{EEA139EF-5E89-D14D-9AD4-66274EE9C1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62800" y="762000"/>
          <a:ext cx="723900" cy="596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34</xdr:col>
      <xdr:colOff>25400</xdr:colOff>
      <xdr:row>6</xdr:row>
      <xdr:rowOff>0</xdr:rowOff>
    </xdr:from>
    <xdr:ext cx="711200" cy="558800"/>
    <xdr:pic>
      <xdr:nvPicPr>
        <xdr:cNvPr id="46" name="Picture 22" descr="http://upload.wikimedia.org/wikipedia/commons/thumb/0/06/Neptune.jpg/100px-Neptune.jpg" hidden="1">
          <a:extLst>
            <a:ext uri="{FF2B5EF4-FFF2-40B4-BE49-F238E27FC236}">
              <a16:creationId xmlns:a16="http://schemas.microsoft.com/office/drawing/2014/main" id="{26E77561-D050-D547-87EF-02909BE441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88200" y="762000"/>
          <a:ext cx="711200" cy="558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14</xdr:col>
      <xdr:colOff>12700</xdr:colOff>
      <xdr:row>0</xdr:row>
      <xdr:rowOff>0</xdr:rowOff>
    </xdr:from>
    <xdr:ext cx="635000" cy="584200"/>
    <xdr:pic>
      <xdr:nvPicPr>
        <xdr:cNvPr id="47" name="Picture 23" descr="http://upload.wikimedia.org/wikipedia/en/thumb/9/90/Pluto2.jpg/100px-Pluto2.jpg" hidden="1">
          <a:extLst>
            <a:ext uri="{FF2B5EF4-FFF2-40B4-BE49-F238E27FC236}">
              <a16:creationId xmlns:a16="http://schemas.microsoft.com/office/drawing/2014/main" id="{93BDF7C6-F0BF-7E4A-A71A-7E3A2D0CC0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91500" y="0"/>
          <a:ext cx="63500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12</xdr:col>
      <xdr:colOff>0</xdr:colOff>
      <xdr:row>0</xdr:row>
      <xdr:rowOff>0</xdr:rowOff>
    </xdr:from>
    <xdr:ext cx="1447800" cy="1143000"/>
    <xdr:pic>
      <xdr:nvPicPr>
        <xdr:cNvPr id="48" name="Picture 47" descr="Jupiter.jpg" hidden="1">
          <a:extLst>
            <a:ext uri="{FF2B5EF4-FFF2-40B4-BE49-F238E27FC236}">
              <a16:creationId xmlns:a16="http://schemas.microsoft.com/office/drawing/2014/main" id="{D02B5493-7EEE-8442-B0C0-708C0E652B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0"/>
          <a:ext cx="1447800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12</xdr:col>
      <xdr:colOff>0</xdr:colOff>
      <xdr:row>0</xdr:row>
      <xdr:rowOff>0</xdr:rowOff>
    </xdr:from>
    <xdr:ext cx="2451100" cy="2171700"/>
    <xdr:pic>
      <xdr:nvPicPr>
        <xdr:cNvPr id="49" name="Picture 11" descr="http://lepmfi.gsfc.nasa.gov/mfi/lepedu/siteimg/all_planets.gif" hidden="1">
          <a:extLst>
            <a:ext uri="{FF2B5EF4-FFF2-40B4-BE49-F238E27FC236}">
              <a16:creationId xmlns:a16="http://schemas.microsoft.com/office/drawing/2014/main" id="{68907D8D-8A62-D34C-BE3E-E8DE9B461D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0"/>
          <a:ext cx="2451100" cy="2171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12</xdr:col>
      <xdr:colOff>0</xdr:colOff>
      <xdr:row>0</xdr:row>
      <xdr:rowOff>0</xdr:rowOff>
    </xdr:from>
    <xdr:ext cx="2311400" cy="2184400"/>
    <xdr:pic>
      <xdr:nvPicPr>
        <xdr:cNvPr id="50" name="Picture 49" descr="SolarSystem.jpg" hidden="1">
          <a:extLst>
            <a:ext uri="{FF2B5EF4-FFF2-40B4-BE49-F238E27FC236}">
              <a16:creationId xmlns:a16="http://schemas.microsoft.com/office/drawing/2014/main" id="{623008FD-29A8-534F-B580-17CFFE82E0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0"/>
          <a:ext cx="2311400" cy="218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12</xdr:col>
      <xdr:colOff>0</xdr:colOff>
      <xdr:row>0</xdr:row>
      <xdr:rowOff>0</xdr:rowOff>
    </xdr:from>
    <xdr:ext cx="2209800" cy="2184400"/>
    <xdr:pic>
      <xdr:nvPicPr>
        <xdr:cNvPr id="51" name="Picture 50" descr="SolarSystem.jpg" hidden="1">
          <a:extLst>
            <a:ext uri="{FF2B5EF4-FFF2-40B4-BE49-F238E27FC236}">
              <a16:creationId xmlns:a16="http://schemas.microsoft.com/office/drawing/2014/main" id="{613AD35B-80FD-9F42-B861-CD9472660E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0"/>
          <a:ext cx="2209800" cy="218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14</xdr:col>
      <xdr:colOff>0</xdr:colOff>
      <xdr:row>0</xdr:row>
      <xdr:rowOff>0</xdr:rowOff>
    </xdr:from>
    <xdr:ext cx="1447800" cy="1143000"/>
    <xdr:pic>
      <xdr:nvPicPr>
        <xdr:cNvPr id="52" name="Picture 51" descr="Jupiter.jpg" hidden="1">
          <a:extLst>
            <a:ext uri="{FF2B5EF4-FFF2-40B4-BE49-F238E27FC236}">
              <a16:creationId xmlns:a16="http://schemas.microsoft.com/office/drawing/2014/main" id="{85F2F30F-31B1-9842-8DD7-639F890DF0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8800" y="0"/>
          <a:ext cx="1447800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31</xdr:col>
      <xdr:colOff>12700</xdr:colOff>
      <xdr:row>6</xdr:row>
      <xdr:rowOff>0</xdr:rowOff>
    </xdr:from>
    <xdr:ext cx="635000" cy="660400"/>
    <xdr:pic>
      <xdr:nvPicPr>
        <xdr:cNvPr id="53" name="Picture 23" descr="http://upload.wikimedia.org/wikipedia/en/thumb/9/90/Pluto2.jpg/100px-Pluto2.jpg" hidden="1">
          <a:extLst>
            <a:ext uri="{FF2B5EF4-FFF2-40B4-BE49-F238E27FC236}">
              <a16:creationId xmlns:a16="http://schemas.microsoft.com/office/drawing/2014/main" id="{5A1FBA41-2435-1542-BC37-F60BE864C7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122900" y="762000"/>
          <a:ext cx="635000" cy="660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33</xdr:col>
      <xdr:colOff>12700</xdr:colOff>
      <xdr:row>6</xdr:row>
      <xdr:rowOff>0</xdr:rowOff>
    </xdr:from>
    <xdr:ext cx="635000" cy="660400"/>
    <xdr:pic>
      <xdr:nvPicPr>
        <xdr:cNvPr id="54" name="Picture 23" descr="http://upload.wikimedia.org/wikipedia/en/thumb/9/90/Pluto2.jpg/100px-Pluto2.jpg" hidden="1">
          <a:extLst>
            <a:ext uri="{FF2B5EF4-FFF2-40B4-BE49-F238E27FC236}">
              <a16:creationId xmlns:a16="http://schemas.microsoft.com/office/drawing/2014/main" id="{19ADFFB9-A768-AE4A-BAC4-76C67E15AC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91300" y="762000"/>
          <a:ext cx="635000" cy="660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35</xdr:col>
      <xdr:colOff>12700</xdr:colOff>
      <xdr:row>6</xdr:row>
      <xdr:rowOff>0</xdr:rowOff>
    </xdr:from>
    <xdr:ext cx="635000" cy="660400"/>
    <xdr:pic>
      <xdr:nvPicPr>
        <xdr:cNvPr id="55" name="Picture 23" descr="http://upload.wikimedia.org/wikipedia/en/thumb/9/90/Pluto2.jpg/100px-Pluto2.jpg" hidden="1">
          <a:extLst>
            <a:ext uri="{FF2B5EF4-FFF2-40B4-BE49-F238E27FC236}">
              <a16:creationId xmlns:a16="http://schemas.microsoft.com/office/drawing/2014/main" id="{1AE5317B-DA87-0143-A0CF-8075C34D2B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59700" y="762000"/>
          <a:ext cx="635000" cy="660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35</xdr:col>
      <xdr:colOff>0</xdr:colOff>
      <xdr:row>6</xdr:row>
      <xdr:rowOff>0</xdr:rowOff>
    </xdr:from>
    <xdr:ext cx="622300" cy="647700"/>
    <xdr:pic>
      <xdr:nvPicPr>
        <xdr:cNvPr id="56" name="Picture 15" descr="http://upload.wikimedia.org/wikipedia/commons/thumb/d/dd/Full_Moon_Luc_Viatour.jpg/100px-Full_Moon_Luc_Viatour.jpg" hidden="1">
          <a:extLst>
            <a:ext uri="{FF2B5EF4-FFF2-40B4-BE49-F238E27FC236}">
              <a16:creationId xmlns:a16="http://schemas.microsoft.com/office/drawing/2014/main" id="{50641C8E-0CC9-1D4B-A08D-7543AE7789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7000" y="762000"/>
          <a:ext cx="62230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35</xdr:col>
      <xdr:colOff>0</xdr:colOff>
      <xdr:row>6</xdr:row>
      <xdr:rowOff>0</xdr:rowOff>
    </xdr:from>
    <xdr:ext cx="609600" cy="622300"/>
    <xdr:pic>
      <xdr:nvPicPr>
        <xdr:cNvPr id="57" name="Picture 16" descr="http://upload.wikimedia.org/wikipedia/commons/thumb/3/30/Mercury_in_color_-_Prockter07_centered.jpg/100px-Mercury_in_color_-_Prockter07_centered.jpg" hidden="1">
          <a:extLst>
            <a:ext uri="{FF2B5EF4-FFF2-40B4-BE49-F238E27FC236}">
              <a16:creationId xmlns:a16="http://schemas.microsoft.com/office/drawing/2014/main" id="{9F84F76E-DD6B-5043-B552-F319811556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7000" y="762000"/>
          <a:ext cx="609600" cy="622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35</xdr:col>
      <xdr:colOff>0</xdr:colOff>
      <xdr:row>6</xdr:row>
      <xdr:rowOff>0</xdr:rowOff>
    </xdr:from>
    <xdr:ext cx="723900" cy="647700"/>
    <xdr:pic>
      <xdr:nvPicPr>
        <xdr:cNvPr id="58" name="Picture 17" descr="http://upload.wikimedia.org/wikipedia/commons/thumb/5/51/Venus-real.jpg/100px-Venus-real.jpg" hidden="1">
          <a:extLst>
            <a:ext uri="{FF2B5EF4-FFF2-40B4-BE49-F238E27FC236}">
              <a16:creationId xmlns:a16="http://schemas.microsoft.com/office/drawing/2014/main" id="{B5B694F5-9436-3543-8FC7-76F2DA63A0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7000" y="762000"/>
          <a:ext cx="72390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35</xdr:col>
      <xdr:colOff>0</xdr:colOff>
      <xdr:row>6</xdr:row>
      <xdr:rowOff>0</xdr:rowOff>
    </xdr:from>
    <xdr:ext cx="622300" cy="584200"/>
    <xdr:pic>
      <xdr:nvPicPr>
        <xdr:cNvPr id="59" name="Picture 18" descr="http://upload.wikimedia.org/wikipedia/commons/thumb/7/76/Mars_Hubble.jpg/100px-Mars_Hubble.jpg" hidden="1">
          <a:extLst>
            <a:ext uri="{FF2B5EF4-FFF2-40B4-BE49-F238E27FC236}">
              <a16:creationId xmlns:a16="http://schemas.microsoft.com/office/drawing/2014/main" id="{A5CB326B-0411-7D47-AA2F-FAD668243B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7000" y="762000"/>
          <a:ext cx="62230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35</xdr:col>
      <xdr:colOff>0</xdr:colOff>
      <xdr:row>6</xdr:row>
      <xdr:rowOff>0</xdr:rowOff>
    </xdr:from>
    <xdr:ext cx="723900" cy="660400"/>
    <xdr:pic>
      <xdr:nvPicPr>
        <xdr:cNvPr id="60" name="Picture 19" descr="http://upload.wikimedia.org/wikipedia/commons/thumb/e/e2/Jupiter.jpg/100px-Jupiter.jpg" hidden="1">
          <a:extLst>
            <a:ext uri="{FF2B5EF4-FFF2-40B4-BE49-F238E27FC236}">
              <a16:creationId xmlns:a16="http://schemas.microsoft.com/office/drawing/2014/main" id="{295B6000-0D24-D747-84CE-D94C5A3498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7000" y="762000"/>
          <a:ext cx="723900" cy="660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36</xdr:col>
      <xdr:colOff>0</xdr:colOff>
      <xdr:row>6</xdr:row>
      <xdr:rowOff>0</xdr:rowOff>
    </xdr:from>
    <xdr:ext cx="736600" cy="660400"/>
    <xdr:pic>
      <xdr:nvPicPr>
        <xdr:cNvPr id="61" name="Picture 21" descr="http://upload.wikimedia.org/wikipedia/commons/thumb/3/3d/Uranus2.jpg/100px-Uranus2.jpg" hidden="1">
          <a:extLst>
            <a:ext uri="{FF2B5EF4-FFF2-40B4-BE49-F238E27FC236}">
              <a16:creationId xmlns:a16="http://schemas.microsoft.com/office/drawing/2014/main" id="{8D1271B9-03B8-3546-B627-224842A7F1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031200" y="762000"/>
          <a:ext cx="736600" cy="660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36</xdr:col>
      <xdr:colOff>25400</xdr:colOff>
      <xdr:row>6</xdr:row>
      <xdr:rowOff>0</xdr:rowOff>
    </xdr:from>
    <xdr:ext cx="711200" cy="622300"/>
    <xdr:pic>
      <xdr:nvPicPr>
        <xdr:cNvPr id="62" name="Picture 22" descr="http://upload.wikimedia.org/wikipedia/commons/thumb/0/06/Neptune.jpg/100px-Neptune.jpg" hidden="1">
          <a:extLst>
            <a:ext uri="{FF2B5EF4-FFF2-40B4-BE49-F238E27FC236}">
              <a16:creationId xmlns:a16="http://schemas.microsoft.com/office/drawing/2014/main" id="{8DA22760-DD02-1E47-942F-769C1CFCE7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056600" y="762000"/>
          <a:ext cx="711200" cy="622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37</xdr:col>
      <xdr:colOff>12700</xdr:colOff>
      <xdr:row>6</xdr:row>
      <xdr:rowOff>0</xdr:rowOff>
    </xdr:from>
    <xdr:ext cx="635000" cy="660400"/>
    <xdr:pic>
      <xdr:nvPicPr>
        <xdr:cNvPr id="63" name="Picture 23" descr="http://upload.wikimedia.org/wikipedia/en/thumb/9/90/Pluto2.jpg/100px-Pluto2.jpg" hidden="1">
          <a:extLst>
            <a:ext uri="{FF2B5EF4-FFF2-40B4-BE49-F238E27FC236}">
              <a16:creationId xmlns:a16="http://schemas.microsoft.com/office/drawing/2014/main" id="{E5D1B0AD-C022-9743-B249-A18010162E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628100" y="762000"/>
          <a:ext cx="635000" cy="660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35</xdr:col>
      <xdr:colOff>0</xdr:colOff>
      <xdr:row>6</xdr:row>
      <xdr:rowOff>0</xdr:rowOff>
    </xdr:from>
    <xdr:ext cx="736600" cy="495300"/>
    <xdr:pic>
      <xdr:nvPicPr>
        <xdr:cNvPr id="64" name="Picture 24" descr="http://www.planetengrund.net/desktophintergrund/small/planeten/saturn03_1024.jpg" hidden="1">
          <a:extLst>
            <a:ext uri="{FF2B5EF4-FFF2-40B4-BE49-F238E27FC236}">
              <a16:creationId xmlns:a16="http://schemas.microsoft.com/office/drawing/2014/main" id="{684AF5BF-365C-5648-BD9F-7A81FB095A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7000" y="762000"/>
          <a:ext cx="73660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35</xdr:col>
      <xdr:colOff>0</xdr:colOff>
      <xdr:row>6</xdr:row>
      <xdr:rowOff>0</xdr:rowOff>
    </xdr:from>
    <xdr:ext cx="1130300" cy="990600"/>
    <xdr:pic>
      <xdr:nvPicPr>
        <xdr:cNvPr id="65" name="MoonNewMoon" descr="MoonNew.gif" hidden="1">
          <a:extLst>
            <a:ext uri="{FF2B5EF4-FFF2-40B4-BE49-F238E27FC236}">
              <a16:creationId xmlns:a16="http://schemas.microsoft.com/office/drawing/2014/main" id="{B476031E-8E7B-B241-929F-1F5F303ED4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7000" y="762000"/>
          <a:ext cx="1130300" cy="99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37</xdr:col>
      <xdr:colOff>0</xdr:colOff>
      <xdr:row>6</xdr:row>
      <xdr:rowOff>0</xdr:rowOff>
    </xdr:from>
    <xdr:ext cx="1447800" cy="1143000"/>
    <xdr:pic>
      <xdr:nvPicPr>
        <xdr:cNvPr id="66" name="Picture 31" descr="Jupiter.jpg" hidden="1">
          <a:extLst>
            <a:ext uri="{FF2B5EF4-FFF2-40B4-BE49-F238E27FC236}">
              <a16:creationId xmlns:a16="http://schemas.microsoft.com/office/drawing/2014/main" id="{3EAD4C7E-6CBC-CA4A-B12D-B40B5F316F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615400" y="762000"/>
          <a:ext cx="1447800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26</xdr:col>
      <xdr:colOff>12700</xdr:colOff>
      <xdr:row>14</xdr:row>
      <xdr:rowOff>0</xdr:rowOff>
    </xdr:from>
    <xdr:ext cx="635000" cy="495300"/>
    <xdr:pic>
      <xdr:nvPicPr>
        <xdr:cNvPr id="68" name="Picture 14" descr="http://upload.wikimedia.org/wikipedia/commons/thumb/a/aa/Sun920607.jpg/100px-Sun920607.jpg" hidden="1">
          <a:extLst>
            <a:ext uri="{FF2B5EF4-FFF2-40B4-BE49-F238E27FC236}">
              <a16:creationId xmlns:a16="http://schemas.microsoft.com/office/drawing/2014/main" id="{AFF64C1A-7B71-5943-99EB-1309BFF23D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39500" y="1028700"/>
          <a:ext cx="63500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26</xdr:col>
      <xdr:colOff>0</xdr:colOff>
      <xdr:row>14</xdr:row>
      <xdr:rowOff>0</xdr:rowOff>
    </xdr:from>
    <xdr:ext cx="1041400" cy="990600"/>
    <xdr:pic>
      <xdr:nvPicPr>
        <xdr:cNvPr id="69" name="Picture 68" descr="MoonNew.gif" hidden="1">
          <a:extLst>
            <a:ext uri="{FF2B5EF4-FFF2-40B4-BE49-F238E27FC236}">
              <a16:creationId xmlns:a16="http://schemas.microsoft.com/office/drawing/2014/main" id="{F6C9DDC9-5BA9-EE43-8FD8-A90EB1C5DA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26800" y="1028700"/>
          <a:ext cx="1041400" cy="99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9</xdr:col>
      <xdr:colOff>292100</xdr:colOff>
      <xdr:row>23</xdr:row>
      <xdr:rowOff>12700</xdr:rowOff>
    </xdr:from>
    <xdr:to>
      <xdr:col>19</xdr:col>
      <xdr:colOff>12700</xdr:colOff>
      <xdr:row>40</xdr:row>
      <xdr:rowOff>38100</xdr:rowOff>
    </xdr:to>
    <xdr:graphicFrame macro="">
      <xdr:nvGraphicFramePr>
        <xdr:cNvPr id="70" name="Chart 69">
          <a:extLst>
            <a:ext uri="{FF2B5EF4-FFF2-40B4-BE49-F238E27FC236}">
              <a16:creationId xmlns:a16="http://schemas.microsoft.com/office/drawing/2014/main" id="{E87ED3FF-F297-F944-84CC-4154ED06F0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2</xdr:col>
      <xdr:colOff>101600</xdr:colOff>
      <xdr:row>42</xdr:row>
      <xdr:rowOff>25400</xdr:rowOff>
    </xdr:from>
    <xdr:to>
      <xdr:col>21</xdr:col>
      <xdr:colOff>457200</xdr:colOff>
      <xdr:row>61</xdr:row>
      <xdr:rowOff>177800</xdr:rowOff>
    </xdr:to>
    <xdr:pic>
      <xdr:nvPicPr>
        <xdr:cNvPr id="73" name="Picture 72" descr="Moon Phases - Griffith Observatory - Southern California's gateway to the  cosmos!">
          <a:extLst>
            <a:ext uri="{FF2B5EF4-FFF2-40B4-BE49-F238E27FC236}">
              <a16:creationId xmlns:a16="http://schemas.microsoft.com/office/drawing/2014/main" id="{F2D1D434-156D-44D8-F3B4-F18510A4DD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800" y="8204200"/>
          <a:ext cx="8026400" cy="4013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723900</xdr:colOff>
      <xdr:row>27</xdr:row>
      <xdr:rowOff>139700</xdr:rowOff>
    </xdr:from>
    <xdr:to>
      <xdr:col>10</xdr:col>
      <xdr:colOff>32593</xdr:colOff>
      <xdr:row>86</xdr:row>
      <xdr:rowOff>0</xdr:rowOff>
    </xdr:to>
    <xdr:pic>
      <xdr:nvPicPr>
        <xdr:cNvPr id="3" name="Picture 2" descr="The 8 Phases of the Moon [infographic] | Moon science, Moon infographic,  Moon phases">
          <a:extLst>
            <a:ext uri="{FF2B5EF4-FFF2-40B4-BE49-F238E27FC236}">
              <a16:creationId xmlns:a16="http://schemas.microsoft.com/office/drawing/2014/main" id="{406BC3FE-639A-DC74-F01F-90D907EF40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3900" y="5626100"/>
          <a:ext cx="7563693" cy="11849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762000</xdr:colOff>
      <xdr:row>0</xdr:row>
      <xdr:rowOff>114300</xdr:rowOff>
    </xdr:from>
    <xdr:to>
      <xdr:col>9</xdr:col>
      <xdr:colOff>800100</xdr:colOff>
      <xdr:row>26</xdr:row>
      <xdr:rowOff>165100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780D282B-AAE9-4636-B41D-929BF09261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" y="114300"/>
          <a:ext cx="7467600" cy="533400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hanssassenburg/Dropbox/X_Private/06_Hobbies/1%20-%20Astronomy/Study/Programs/ORBIT%20(HS,%20V0.1)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olar System"/>
      <sheetName val="Definitions"/>
      <sheetName val="Calculations"/>
      <sheetName val="Graphical Data"/>
      <sheetName val="Conversion"/>
      <sheetName val="Clock"/>
    </sheetNames>
    <sheetDataSet>
      <sheetData sheetId="0" refreshError="1"/>
      <sheetData sheetId="1">
        <row r="8">
          <cell r="C8">
            <v>86400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hyperlink" Target="http://www.astronomy-morsels.ch/" TargetMode="External"/><Relationship Id="rId1" Type="http://schemas.openxmlformats.org/officeDocument/2006/relationships/hyperlink" Target="mailto:anton@astronomy-morsels.ch?subject=Eclipse%20Data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9D29A1-A645-9748-8CE6-AFA19E334F6B}">
  <dimension ref="A2:L52"/>
  <sheetViews>
    <sheetView showGridLines="0" tabSelected="1" workbookViewId="0"/>
  </sheetViews>
  <sheetFormatPr baseColWidth="10" defaultRowHeight="16" x14ac:dyDescent="0.2"/>
  <cols>
    <col min="1" max="1" width="10.83203125" style="169"/>
    <col min="2" max="11" width="11.33203125" style="169" customWidth="1"/>
    <col min="12" max="12" width="10.83203125" style="169"/>
    <col min="13" max="16384" width="10.83203125" style="1"/>
  </cols>
  <sheetData>
    <row r="2" spans="2:11" ht="15" customHeight="1" x14ac:dyDescent="0.2"/>
    <row r="3" spans="2:11" ht="16" customHeight="1" x14ac:dyDescent="0.2">
      <c r="B3" s="186" t="s">
        <v>76</v>
      </c>
      <c r="C3" s="186"/>
      <c r="D3" s="186"/>
      <c r="E3" s="186"/>
      <c r="F3" s="186"/>
      <c r="G3" s="186"/>
      <c r="H3" s="186"/>
      <c r="I3" s="186"/>
      <c r="J3" s="186"/>
      <c r="K3" s="186"/>
    </row>
    <row r="4" spans="2:11" ht="16" customHeight="1" x14ac:dyDescent="0.2">
      <c r="B4" s="186"/>
      <c r="C4" s="186"/>
      <c r="D4" s="186"/>
      <c r="E4" s="186"/>
      <c r="F4" s="186"/>
      <c r="G4" s="186"/>
      <c r="H4" s="186"/>
      <c r="I4" s="186"/>
      <c r="J4" s="186"/>
      <c r="K4" s="186"/>
    </row>
    <row r="5" spans="2:11" ht="16" customHeight="1" x14ac:dyDescent="0.2">
      <c r="B5" s="186"/>
      <c r="C5" s="186"/>
      <c r="D5" s="186"/>
      <c r="E5" s="186"/>
      <c r="F5" s="186"/>
      <c r="G5" s="186"/>
      <c r="H5" s="186"/>
      <c r="I5" s="186"/>
      <c r="J5" s="186"/>
      <c r="K5" s="186"/>
    </row>
    <row r="6" spans="2:11" ht="16" customHeight="1" x14ac:dyDescent="0.2">
      <c r="B6" s="186"/>
      <c r="C6" s="186"/>
      <c r="D6" s="186"/>
      <c r="E6" s="186"/>
      <c r="F6" s="186"/>
      <c r="G6" s="186"/>
      <c r="H6" s="186"/>
      <c r="I6" s="186"/>
      <c r="J6" s="186"/>
      <c r="K6" s="186"/>
    </row>
    <row r="7" spans="2:11" ht="16" customHeight="1" x14ac:dyDescent="0.2">
      <c r="B7" s="186"/>
      <c r="C7" s="186"/>
      <c r="D7" s="186"/>
      <c r="E7" s="186"/>
      <c r="F7" s="186"/>
      <c r="G7" s="186"/>
      <c r="H7" s="186"/>
      <c r="I7" s="186"/>
      <c r="J7" s="186"/>
      <c r="K7" s="186"/>
    </row>
    <row r="8" spans="2:11" ht="16" customHeight="1" x14ac:dyDescent="0.2">
      <c r="B8" s="186"/>
      <c r="C8" s="186"/>
      <c r="D8" s="186"/>
      <c r="E8" s="186"/>
      <c r="F8" s="186"/>
      <c r="G8" s="186"/>
      <c r="H8" s="186"/>
      <c r="I8" s="186"/>
      <c r="J8" s="186"/>
      <c r="K8" s="186"/>
    </row>
    <row r="9" spans="2:11" ht="16" customHeight="1" x14ac:dyDescent="0.2">
      <c r="B9" s="186"/>
      <c r="C9" s="186"/>
      <c r="D9" s="186"/>
      <c r="E9" s="186"/>
      <c r="F9" s="186"/>
      <c r="G9" s="186"/>
      <c r="H9" s="186"/>
      <c r="I9" s="186"/>
      <c r="J9" s="186"/>
      <c r="K9" s="186"/>
    </row>
    <row r="13" spans="2:11" ht="19" x14ac:dyDescent="0.25">
      <c r="D13" s="171" t="s">
        <v>143</v>
      </c>
      <c r="E13" s="172"/>
      <c r="F13" s="173"/>
      <c r="G13" s="173"/>
      <c r="H13" s="173"/>
      <c r="I13" s="174" t="s">
        <v>75</v>
      </c>
    </row>
    <row r="14" spans="2:11" ht="19" x14ac:dyDescent="0.25">
      <c r="D14" s="175"/>
      <c r="E14" s="176"/>
      <c r="F14" s="177"/>
      <c r="G14" s="177"/>
      <c r="H14" s="177"/>
      <c r="I14" s="178"/>
    </row>
    <row r="15" spans="2:11" ht="19" x14ac:dyDescent="0.25">
      <c r="D15" s="179" t="s">
        <v>144</v>
      </c>
      <c r="E15" s="180"/>
      <c r="F15" s="181"/>
      <c r="G15" s="181"/>
      <c r="H15" s="181"/>
      <c r="I15" s="182" t="s">
        <v>74</v>
      </c>
    </row>
    <row r="22" spans="3:3" x14ac:dyDescent="0.2">
      <c r="C22" s="170"/>
    </row>
    <row r="50" spans="2:11" x14ac:dyDescent="0.2">
      <c r="B50" s="187" t="s">
        <v>73</v>
      </c>
      <c r="C50" s="188"/>
      <c r="D50" s="188"/>
      <c r="E50" s="188"/>
      <c r="F50" s="188"/>
      <c r="G50" s="188"/>
      <c r="H50" s="188"/>
      <c r="I50" s="188"/>
      <c r="J50" s="188"/>
      <c r="K50" s="189"/>
    </row>
    <row r="51" spans="2:11" x14ac:dyDescent="0.2">
      <c r="B51" s="190" t="s">
        <v>72</v>
      </c>
      <c r="C51" s="191"/>
      <c r="D51" s="191"/>
      <c r="E51" s="191"/>
      <c r="F51" s="191"/>
      <c r="G51" s="191"/>
      <c r="H51" s="191"/>
      <c r="I51" s="191"/>
      <c r="J51" s="191"/>
      <c r="K51" s="192"/>
    </row>
    <row r="52" spans="2:11" x14ac:dyDescent="0.2">
      <c r="B52" s="193" t="s">
        <v>71</v>
      </c>
      <c r="C52" s="194"/>
      <c r="D52" s="194"/>
      <c r="E52" s="194"/>
      <c r="F52" s="194"/>
      <c r="G52" s="194"/>
      <c r="H52" s="194"/>
      <c r="I52" s="194"/>
      <c r="J52" s="194"/>
      <c r="K52" s="195"/>
    </row>
  </sheetData>
  <sheetProtection sheet="1" objects="1" scenarios="1"/>
  <mergeCells count="4">
    <mergeCell ref="B3:K9"/>
    <mergeCell ref="B50:K50"/>
    <mergeCell ref="B51:K51"/>
    <mergeCell ref="B52:K52"/>
  </mergeCells>
  <hyperlinks>
    <hyperlink ref="I13" r:id="rId1" xr:uid="{90E4F950-9367-B349-8B4D-872BF42B2581}"/>
    <hyperlink ref="B50" r:id="rId2" display="http://www.astronomy-morsels.ch/" xr:uid="{5C22362B-7907-4143-82D4-173FB51A49C2}"/>
  </hyperlinks>
  <pageMargins left="0.7" right="0.7" top="0.75" bottom="0.75" header="0.3" footer="0.3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6F4744-21B3-1046-B26D-B52747C07285}">
  <sheetPr>
    <pageSetUpPr fitToPage="1"/>
  </sheetPr>
  <dimension ref="B2:AL151"/>
  <sheetViews>
    <sheetView showGridLines="0" zoomScaleNormal="100" workbookViewId="0">
      <selection activeCell="C31" sqref="C31"/>
    </sheetView>
  </sheetViews>
  <sheetFormatPr baseColWidth="10" defaultColWidth="7.6640625" defaultRowHeight="12" x14ac:dyDescent="0.15"/>
  <cols>
    <col min="1" max="1" width="2" style="3" customWidth="1"/>
    <col min="2" max="17" width="4" style="3" customWidth="1"/>
    <col min="18" max="18" width="1.5" style="3" customWidth="1"/>
    <col min="19" max="19" width="15.83203125" style="3" customWidth="1"/>
    <col min="20" max="21" width="11.6640625" style="5" customWidth="1"/>
    <col min="22" max="22" width="11.6640625" style="3" customWidth="1"/>
    <col min="23" max="23" width="7.6640625" style="3"/>
    <col min="24" max="24" width="3" style="4" customWidth="1"/>
    <col min="25" max="25" width="7.6640625" style="3"/>
    <col min="26" max="27" width="11.1640625" style="3" customWidth="1"/>
    <col min="28" max="28" width="4" style="3" customWidth="1"/>
    <col min="29" max="38" width="11.1640625" style="3" customWidth="1"/>
    <col min="39" max="16384" width="7.6640625" style="3"/>
  </cols>
  <sheetData>
    <row r="2" spans="2:38" ht="16" customHeight="1" x14ac:dyDescent="0.2">
      <c r="B2" s="149"/>
      <c r="C2" s="149"/>
      <c r="D2" s="149"/>
      <c r="E2" s="217" t="s">
        <v>24</v>
      </c>
      <c r="F2" s="217"/>
      <c r="G2" s="217"/>
    </row>
    <row r="3" spans="2:38" ht="16" customHeight="1" x14ac:dyDescent="0.2">
      <c r="B3" s="196" t="s">
        <v>48</v>
      </c>
      <c r="C3" s="196"/>
      <c r="D3" s="196"/>
      <c r="E3" s="197">
        <v>45418</v>
      </c>
      <c r="F3" s="197"/>
      <c r="G3" s="197"/>
    </row>
    <row r="4" spans="2:38" ht="16" customHeight="1" x14ac:dyDescent="0.2">
      <c r="B4" s="196" t="s">
        <v>0</v>
      </c>
      <c r="C4" s="196"/>
      <c r="D4" s="196"/>
      <c r="E4" s="205">
        <f>YEAR(E3)</f>
        <v>2024</v>
      </c>
      <c r="F4" s="205"/>
      <c r="G4" s="205"/>
      <c r="H4" s="21">
        <f>VALUE(Year)</f>
        <v>2024</v>
      </c>
      <c r="I4" s="20"/>
      <c r="J4" s="20"/>
      <c r="K4" s="20"/>
      <c r="L4" s="20"/>
      <c r="M4" s="20"/>
      <c r="N4" s="20"/>
      <c r="O4" s="20"/>
      <c r="P4" s="20"/>
      <c r="Q4" s="20"/>
    </row>
    <row r="5" spans="2:38" ht="16" customHeight="1" x14ac:dyDescent="0.15">
      <c r="B5" s="196" t="s">
        <v>1</v>
      </c>
      <c r="C5" s="196"/>
      <c r="D5" s="196"/>
      <c r="E5" s="216" t="str">
        <f>VLOOKUP(MONTH(E3),Conversion!B51:C62,2,FALSE)</f>
        <v>May</v>
      </c>
      <c r="F5" s="216"/>
      <c r="G5" s="216"/>
      <c r="H5" s="10">
        <f>VLOOKUP(Month,Conversion!C51:D62,2,FALSE)</f>
        <v>5</v>
      </c>
      <c r="I5" s="5"/>
      <c r="J5" s="5"/>
      <c r="K5" s="5"/>
      <c r="L5" s="5"/>
      <c r="M5" s="5"/>
      <c r="N5" s="5"/>
      <c r="O5" s="5"/>
      <c r="P5" s="5"/>
      <c r="Q5" s="5"/>
    </row>
    <row r="6" spans="2:38" ht="16" customHeight="1" x14ac:dyDescent="0.15"/>
    <row r="7" spans="2:38" ht="16" customHeight="1" x14ac:dyDescent="0.25">
      <c r="B7" s="212">
        <f>IF(Month="December",Year&amp;" - "&amp;Year+1,Year)</f>
        <v>2024</v>
      </c>
      <c r="C7" s="213"/>
      <c r="D7" s="213"/>
      <c r="E7" s="213"/>
      <c r="F7" s="213"/>
      <c r="G7" s="213"/>
      <c r="H7" s="213"/>
      <c r="I7" s="213"/>
      <c r="J7" s="213"/>
      <c r="K7" s="213"/>
      <c r="L7" s="213"/>
      <c r="M7" s="213"/>
      <c r="N7" s="213"/>
      <c r="O7" s="213"/>
      <c r="P7" s="213"/>
      <c r="Q7" s="213"/>
      <c r="R7" s="213"/>
      <c r="S7" s="213"/>
      <c r="T7" s="213"/>
      <c r="U7" s="213"/>
      <c r="V7" s="214"/>
      <c r="Z7" s="198" t="s">
        <v>139</v>
      </c>
      <c r="AA7" s="199"/>
      <c r="AB7" s="10"/>
      <c r="AC7" s="198" t="s">
        <v>78</v>
      </c>
      <c r="AD7" s="199"/>
      <c r="AE7" s="198" t="s">
        <v>83</v>
      </c>
      <c r="AF7" s="199"/>
      <c r="AG7" s="198" t="s">
        <v>81</v>
      </c>
      <c r="AH7" s="199"/>
      <c r="AI7" s="198" t="s">
        <v>95</v>
      </c>
      <c r="AJ7" s="199"/>
      <c r="AK7" s="198" t="s">
        <v>78</v>
      </c>
      <c r="AL7" s="199"/>
    </row>
    <row r="8" spans="2:38" ht="16" customHeight="1" x14ac:dyDescent="0.25">
      <c r="B8" s="215"/>
      <c r="C8" s="215"/>
      <c r="D8" s="215"/>
      <c r="E8" s="215"/>
      <c r="F8" s="215"/>
      <c r="G8" s="215"/>
      <c r="H8" s="215"/>
      <c r="I8" s="215"/>
      <c r="J8" s="215"/>
      <c r="K8" s="215"/>
      <c r="L8" s="215"/>
      <c r="M8" s="215"/>
      <c r="N8" s="215"/>
      <c r="O8" s="215"/>
      <c r="P8" s="215"/>
      <c r="Q8" s="215"/>
      <c r="R8" s="19"/>
      <c r="S8" s="19"/>
      <c r="T8" s="19"/>
      <c r="U8" s="19"/>
      <c r="V8" s="18"/>
      <c r="Z8" s="14" t="s">
        <v>48</v>
      </c>
      <c r="AA8" s="17">
        <f>DATE(H4,H5,1)</f>
        <v>45413</v>
      </c>
      <c r="AC8" s="14" t="s">
        <v>48</v>
      </c>
      <c r="AD8" s="17">
        <f>DATE(Conversion!G5,Conversion!G6,Conversion!G7)</f>
        <v>45420</v>
      </c>
      <c r="AE8" s="14" t="s">
        <v>48</v>
      </c>
      <c r="AF8" s="17">
        <f>DATE(Conversion!I5,Conversion!I6,Conversion!I7)</f>
        <v>45427</v>
      </c>
      <c r="AG8" s="14" t="s">
        <v>48</v>
      </c>
      <c r="AH8" s="17">
        <f>DATE(Conversion!K5,Conversion!K6,Conversion!K7)</f>
        <v>45435</v>
      </c>
      <c r="AI8" s="14" t="s">
        <v>48</v>
      </c>
      <c r="AJ8" s="17">
        <f>DATE(Conversion!M5,Conversion!M6,Conversion!M7)</f>
        <v>45442</v>
      </c>
      <c r="AK8" s="14" t="s">
        <v>48</v>
      </c>
      <c r="AL8" s="17">
        <f>DATE(Conversion!O5,Conversion!O6,Conversion!O7)</f>
        <v>45449</v>
      </c>
    </row>
    <row r="9" spans="2:38" ht="16" customHeight="1" thickBot="1" x14ac:dyDescent="0.2">
      <c r="B9" s="215"/>
      <c r="C9" s="215"/>
      <c r="D9" s="215"/>
      <c r="E9" s="215"/>
      <c r="F9" s="215"/>
      <c r="G9" s="215"/>
      <c r="H9" s="215"/>
      <c r="I9" s="215"/>
      <c r="J9" s="215"/>
      <c r="K9" s="215"/>
      <c r="L9" s="215"/>
      <c r="M9" s="215"/>
      <c r="N9" s="215"/>
      <c r="O9" s="215"/>
      <c r="P9" s="215"/>
      <c r="Q9" s="215"/>
      <c r="Z9" s="14" t="s">
        <v>94</v>
      </c>
      <c r="AA9" s="16">
        <v>0.5</v>
      </c>
      <c r="AC9" s="14" t="s">
        <v>94</v>
      </c>
      <c r="AD9" s="16">
        <f>TIME(Conversion!G8,Conversion!G9,Conversion!G10)</f>
        <v>0.14101851851851852</v>
      </c>
      <c r="AE9" s="14" t="s">
        <v>94</v>
      </c>
      <c r="AF9" s="16">
        <f>TIME(Conversion!I8,Conversion!I9,Conversion!I10)</f>
        <v>0.49256944444444445</v>
      </c>
      <c r="AG9" s="14" t="s">
        <v>94</v>
      </c>
      <c r="AH9" s="16">
        <f>TIME(Conversion!K8,Conversion!K9,Conversion!K10)</f>
        <v>0.57939814814814816</v>
      </c>
      <c r="AI9" s="14" t="s">
        <v>94</v>
      </c>
      <c r="AJ9" s="16">
        <f>TIME(Conversion!M8,Conversion!M9,Conversion!M10)</f>
        <v>0.71785879629629634</v>
      </c>
      <c r="AK9" s="14" t="s">
        <v>94</v>
      </c>
      <c r="AL9" s="16">
        <f>TIME(Conversion!O8,Conversion!O9,Conversion!O10)</f>
        <v>0.52695601851851848</v>
      </c>
    </row>
    <row r="10" spans="2:38" ht="16" customHeight="1" thickBot="1" x14ac:dyDescent="0.25">
      <c r="B10" s="206" t="str">
        <f>Month&amp;" "&amp;Year</f>
        <v>May 2024</v>
      </c>
      <c r="C10" s="207"/>
      <c r="D10" s="207"/>
      <c r="E10" s="207"/>
      <c r="F10" s="207"/>
      <c r="G10" s="207"/>
      <c r="H10" s="208"/>
      <c r="I10" s="150"/>
      <c r="J10" s="209">
        <f>DATE(YEAR(B10),MONTH(B10)+1,1)</f>
        <v>45444</v>
      </c>
      <c r="K10" s="210"/>
      <c r="L10" s="210"/>
      <c r="M10" s="210"/>
      <c r="N10" s="210"/>
      <c r="O10" s="210"/>
      <c r="P10" s="211"/>
      <c r="Q10" s="7"/>
      <c r="S10" s="160" t="s">
        <v>93</v>
      </c>
      <c r="T10" s="160" t="s">
        <v>48</v>
      </c>
      <c r="U10" s="160" t="s">
        <v>92</v>
      </c>
      <c r="V10" s="160" t="s">
        <v>49</v>
      </c>
      <c r="Z10" s="14" t="s">
        <v>92</v>
      </c>
      <c r="AA10" s="13" t="str">
        <f>IF(AA14=0,"Sunday",IF(AA14=1,"Monday",IF(AA14=2,"Tuesday",IF(AA14=3,"Wednesday",IF(AA14=4,"Thursday",IF(AA14=5,"Friday","Saturday"))))))</f>
        <v>Wednesday</v>
      </c>
      <c r="AC10" s="14" t="s">
        <v>92</v>
      </c>
      <c r="AD10" s="13" t="str">
        <f>IF(AD14=0,"Sunday",IF(AD14=1,"Monday",IF(AD14=2,"Tuesday",IF(AD14=3,"Wednesday",IF(AD14=4,"Thursday",IF(AD14=5,"Friday","Saturday"))))))</f>
        <v>Wednesday</v>
      </c>
      <c r="AE10" s="14" t="s">
        <v>92</v>
      </c>
      <c r="AF10" s="13" t="str">
        <f>IF(AF14=0,"Sunday",IF(AF14=1,"Monday",IF(AF14=2,"Tuesday",IF(AF14=3,"Wednesday",IF(AF14=4,"Thursday",IF(AF14=5,"Friday","Saturday"))))))</f>
        <v>Wednesday</v>
      </c>
      <c r="AG10" s="14" t="s">
        <v>92</v>
      </c>
      <c r="AH10" s="13" t="str">
        <f>IF(AH14=0,"Sunday",IF(AH14=1,"Monday",IF(AH14=2,"Tuesday",IF(AH14=3,"Wednesday",IF(AH14=4,"Thursday",IF(AH14=5,"Friday","Saturday"))))))</f>
        <v>Thursday</v>
      </c>
      <c r="AI10" s="14" t="s">
        <v>92</v>
      </c>
      <c r="AJ10" s="13" t="str">
        <f>IF(AJ14=0,"Sunday",IF(AJ14=1,"Monday",IF(AJ14=2,"Tuesday",IF(AJ14=3,"Wednesday",IF(AJ14=4,"Thursday",IF(AJ14=5,"Friday","Saturday"))))))</f>
        <v>Thursday</v>
      </c>
      <c r="AK10" s="14" t="s">
        <v>92</v>
      </c>
      <c r="AL10" s="13" t="str">
        <f>IF(AL14=0,"Sunday",IF(AL14=1,"Monday",IF(AL14=2,"Tuesday",IF(AL14=3,"Wednesday",IF(AL14=4,"Thursday",IF(AL14=5,"Friday","Saturday"))))))</f>
        <v>Thursday</v>
      </c>
    </row>
    <row r="11" spans="2:38" ht="16" customHeight="1" x14ac:dyDescent="0.2">
      <c r="B11" s="166" t="s">
        <v>10</v>
      </c>
      <c r="C11" s="167" t="s">
        <v>91</v>
      </c>
      <c r="D11" s="167" t="s">
        <v>90</v>
      </c>
      <c r="E11" s="167" t="s">
        <v>89</v>
      </c>
      <c r="F11" s="167" t="s">
        <v>88</v>
      </c>
      <c r="G11" s="167" t="s">
        <v>87</v>
      </c>
      <c r="H11" s="168" t="s">
        <v>86</v>
      </c>
      <c r="I11" s="150"/>
      <c r="J11" s="166" t="s">
        <v>10</v>
      </c>
      <c r="K11" s="167" t="s">
        <v>91</v>
      </c>
      <c r="L11" s="167" t="s">
        <v>90</v>
      </c>
      <c r="M11" s="167" t="s">
        <v>89</v>
      </c>
      <c r="N11" s="167" t="s">
        <v>88</v>
      </c>
      <c r="O11" s="167" t="s">
        <v>87</v>
      </c>
      <c r="P11" s="168" t="s">
        <v>86</v>
      </c>
      <c r="Q11" s="7"/>
      <c r="S11" s="161" t="s">
        <v>78</v>
      </c>
      <c r="T11" s="183">
        <f>AD8</f>
        <v>45420</v>
      </c>
      <c r="U11" s="183" t="str">
        <f>AD10</f>
        <v>Wednesday</v>
      </c>
      <c r="V11" s="184">
        <f>AD9</f>
        <v>0.14101851851851852</v>
      </c>
      <c r="Z11" s="14" t="s">
        <v>85</v>
      </c>
      <c r="AA11" s="15">
        <f>Conversion!C21</f>
        <v>2460432</v>
      </c>
      <c r="AC11" s="14" t="s">
        <v>84</v>
      </c>
      <c r="AD11" s="15">
        <f>Conversion!G3</f>
        <v>2460438.6410164083</v>
      </c>
      <c r="AE11" s="14" t="s">
        <v>84</v>
      </c>
      <c r="AF11" s="15">
        <f>Conversion!I3</f>
        <v>2460445.9925658708</v>
      </c>
      <c r="AG11" s="14" t="s">
        <v>84</v>
      </c>
      <c r="AH11" s="15">
        <f>Conversion!K3</f>
        <v>2460454.0793935047</v>
      </c>
      <c r="AI11" s="14" t="s">
        <v>84</v>
      </c>
      <c r="AJ11" s="15">
        <f>Conversion!M3</f>
        <v>2460461.2178603499</v>
      </c>
      <c r="AK11" s="14" t="s">
        <v>84</v>
      </c>
      <c r="AL11" s="15">
        <f>Conversion!O3</f>
        <v>2460468.0269574602</v>
      </c>
    </row>
    <row r="12" spans="2:38" ht="16" customHeight="1" x14ac:dyDescent="0.2">
      <c r="B12" s="151">
        <f>IF(VLOOKUP(B$11,Conversion!$F$51:$G$57,2,FALSE)=WEEKDAY(DATE(YEAR(B$10),MONTH($B$10),1)),1,0)</f>
        <v>0</v>
      </c>
      <c r="C12" s="152">
        <f>IF(DAY(EOMONTH(DATE(YEAR($B$10),MONTH($B$10),1),0))&gt;IF(B12&gt;=1,B12,IF(VLOOKUP(C$11,Conversion!$F$51:$G$57,2,FALSE)=WEEKDAY(DATE(YEAR($B$10),MONTH($B$10),1)),1,0)),IF(B12&gt;=1,B12+1,IF(VLOOKUP(C$11,Conversion!$F$51:$G$57,2,FALSE)=WEEKDAY(DATE(YEAR($B$10),MONTH($B$10),1)),1,0)),0)</f>
        <v>0</v>
      </c>
      <c r="D12" s="152">
        <f>IF(DAY(EOMONTH(DATE(YEAR($B$10),MONTH($B$10),1),0))&gt;IF(C12&gt;=1,C12,IF(VLOOKUP(D$11,Conversion!$F$51:$G$57,2,FALSE)=WEEKDAY(DATE(YEAR($B$10),MONTH($B$10),1)),1,0)),IF(C12&gt;=1,C12+1,IF(VLOOKUP(D$11,Conversion!$F$51:$G$57,2,FALSE)=WEEKDAY(DATE(YEAR($B$10),MONTH($B$10),1)),1,0)),0)</f>
        <v>0</v>
      </c>
      <c r="E12" s="152">
        <f>IF(DAY(EOMONTH(DATE(YEAR($B$10),MONTH($B$10),1),0))&gt;IF(D12&gt;=1,D12,IF(VLOOKUP(E$11,Conversion!$F$51:$G$57,2,FALSE)=WEEKDAY(DATE(YEAR($B$10),MONTH($B$10),1)),1,0)),IF(D12&gt;=1,D12+1,IF(VLOOKUP(E$11,Conversion!$F$51:$G$57,2,FALSE)=WEEKDAY(DATE(YEAR($B$10),MONTH($B$10),1)),1,0)),0)</f>
        <v>1</v>
      </c>
      <c r="F12" s="152">
        <f>IF(DAY(EOMONTH(DATE(YEAR($B$10),MONTH($B$10),1),0))&gt;IF(E12&gt;=1,E12,IF(VLOOKUP(F$11,Conversion!$F$51:$G$57,2,FALSE)=WEEKDAY(DATE(YEAR($B$10),MONTH($B$10),1)),1,0)),IF(E12&gt;=1,E12+1,IF(VLOOKUP(F$11,Conversion!$F$51:$G$57,2,FALSE)=WEEKDAY(DATE(YEAR($B$10),MONTH($B$10),1)),1,0)),0)</f>
        <v>2</v>
      </c>
      <c r="G12" s="152">
        <f>IF(DAY(EOMONTH(DATE(YEAR($B$10),MONTH($B$10),1),0))&gt;IF(F12&gt;=1,F12,IF(VLOOKUP(G$11,Conversion!$F$51:$G$57,2,FALSE)=WEEKDAY(DATE(YEAR($B$10),MONTH($B$10),1)),1,0)),IF(F12&gt;=1,F12+1,IF(VLOOKUP(G$11,Conversion!$F$51:$G$57,2,FALSE)=WEEKDAY(DATE(YEAR($B$10),MONTH($B$10),1)),1,0)),0)</f>
        <v>3</v>
      </c>
      <c r="H12" s="153">
        <f>IF(DAY(EOMONTH(DATE(YEAR($B$10),MONTH($B$10),1),0))&gt;IF(G12&gt;=1,G12,IF(VLOOKUP(H$11,Conversion!$F$51:$G$57,2,FALSE)=WEEKDAY(DATE(YEAR($B$10),MONTH($B$10),1)),1,0)),IF(G12&gt;=1,G12+1,IF(VLOOKUP(H$11,Conversion!$F$51:$G$57,2,FALSE)=WEEKDAY(DATE(YEAR($B$10),MONTH($B$10),1)),1,0)),0)</f>
        <v>4</v>
      </c>
      <c r="I12" s="150"/>
      <c r="J12" s="151">
        <f>IF(VLOOKUP(J$11,Conversion!$F$51:$G$57,2,FALSE)=WEEKDAY(DATE(YEAR(J$10),MONTH($J$10),1)),1,0)</f>
        <v>0</v>
      </c>
      <c r="K12" s="152">
        <f>IF(DAY(EOMONTH(DATE(YEAR($J$10),MONTH($J$10),1),0))&gt;IF(J12&gt;=1,J12,IF(VLOOKUP(K$11,Conversion!$F$51:$G$57,2,FALSE)=WEEKDAY(DATE(YEAR($J$10),MONTH($J$10),1)),1,0)),IF(J12&gt;=1,J12+1,IF(VLOOKUP(K$11,Conversion!$F$51:$G$57,2,FALSE)=WEEKDAY(DATE(YEAR($J$10),MONTH($J$10),1)),1,0)),0)</f>
        <v>0</v>
      </c>
      <c r="L12" s="152">
        <f>IF(DAY(EOMONTH(DATE(YEAR($J$10),MONTH($J$10),1),0))&gt;IF(K12&gt;=1,K12,IF(VLOOKUP(L$11,Conversion!$F$51:$G$57,2,FALSE)=WEEKDAY(DATE(YEAR($J$10),MONTH($J$10),1)),1,0)),IF(K12&gt;=1,K12+1,IF(VLOOKUP(L$11,Conversion!$F$51:$G$57,2,FALSE)=WEEKDAY(DATE(YEAR($J$10),MONTH($J$10),1)),1,0)),0)</f>
        <v>0</v>
      </c>
      <c r="M12" s="152">
        <f>IF(DAY(EOMONTH(DATE(YEAR($J$10),MONTH($J$10),1),0))&gt;IF(L12&gt;=1,L12,IF(VLOOKUP(M$11,Conversion!$F$51:$G$57,2,FALSE)=WEEKDAY(DATE(YEAR($J$10),MONTH($J$10),1)),1,0)),IF(L12&gt;=1,L12+1,IF(VLOOKUP(M$11,Conversion!$F$51:$G$57,2,FALSE)=WEEKDAY(DATE(YEAR($J$10),MONTH($J$10),1)),1,0)),0)</f>
        <v>0</v>
      </c>
      <c r="N12" s="152">
        <f>IF(DAY(EOMONTH(DATE(YEAR($J$10),MONTH($J$10),1),0))&gt;IF(M12&gt;=1,M12,IF(VLOOKUP(N$11,Conversion!$F$51:$G$57,2,FALSE)=WEEKDAY(DATE(YEAR($J$10),MONTH($J$10),1)),1,0)),IF(M12&gt;=1,M12+1,IF(VLOOKUP(N$11,Conversion!$F$51:$G$57,2,FALSE)=WEEKDAY(DATE(YEAR($J$10),MONTH($J$10),1)),1,0)),0)</f>
        <v>0</v>
      </c>
      <c r="O12" s="152">
        <f>IF(DAY(EOMONTH(DATE(YEAR($J$10),MONTH($J$10),1),0))&gt;IF(N12&gt;=1,N12,IF(VLOOKUP(O$11,Conversion!$F$51:$G$57,2,FALSE)=WEEKDAY(DATE(YEAR($J$10),MONTH($J$10),1)),1,0)),IF(N12&gt;=1,N12+1,IF(VLOOKUP(O$11,Conversion!$F$51:$G$57,2,FALSE)=WEEKDAY(DATE(YEAR($J$10),MONTH($J$10),1)),1,0)),0)</f>
        <v>0</v>
      </c>
      <c r="P12" s="153">
        <f>IF(DAY(EOMONTH(DATE(YEAR($J$10),MONTH($J$10),1),0))&gt;IF(O12&gt;=1,O12,IF(VLOOKUP(P$11,Conversion!$F$51:$G$57,2,FALSE)=WEEKDAY(DATE(YEAR($J$10),MONTH($J$10),1)),1,0)),IF(O12&gt;=1,O12+1,IF(VLOOKUP(P$11,Conversion!$F$51:$G$57,2,FALSE)=WEEKDAY(DATE(YEAR($J$10),MONTH($J$10),1)),1,0)),0)</f>
        <v>1</v>
      </c>
      <c r="Q12" s="7"/>
      <c r="S12" s="162" t="s">
        <v>83</v>
      </c>
      <c r="T12" s="183">
        <f>AF8</f>
        <v>45427</v>
      </c>
      <c r="U12" s="183" t="str">
        <f>AF10</f>
        <v>Wednesday</v>
      </c>
      <c r="V12" s="184">
        <f>AF9</f>
        <v>0.49256944444444445</v>
      </c>
      <c r="Z12" s="14" t="s">
        <v>82</v>
      </c>
      <c r="AA12" s="13" t="str">
        <f>IF(MOD(YEAR(AA8),4)=0,IF(MOD(YEAR(AA8),400)&gt;0,"Yes","No"),"No")</f>
        <v>Yes</v>
      </c>
      <c r="AC12" s="14" t="s">
        <v>82</v>
      </c>
      <c r="AD12" s="13" t="str">
        <f>IF(MOD(YEAR(AD8),4)=0,IF(MOD(YEAR(AD8),400)&gt;0,"Yes","No"),"No")</f>
        <v>Yes</v>
      </c>
      <c r="AE12" s="14" t="s">
        <v>82</v>
      </c>
      <c r="AF12" s="13" t="str">
        <f>IF(MOD(YEAR(AF8),4)=0,IF(MOD(YEAR(AF8),400)&gt;0,"Yes","No"),"No")</f>
        <v>Yes</v>
      </c>
      <c r="AG12" s="14" t="s">
        <v>82</v>
      </c>
      <c r="AH12" s="13" t="str">
        <f>IF(MOD(YEAR(AH8),4)=0,IF(MOD(YEAR(AH8),400)&gt;0,"Yes","No"),"No")</f>
        <v>Yes</v>
      </c>
      <c r="AI12" s="14" t="s">
        <v>82</v>
      </c>
      <c r="AJ12" s="13" t="str">
        <f>IF(MOD(YEAR(AJ8),4)=0,IF(MOD(YEAR(AJ8),400)&gt;0,"Yes","No"),"No")</f>
        <v>Yes</v>
      </c>
      <c r="AK12" s="14" t="s">
        <v>82</v>
      </c>
      <c r="AL12" s="13" t="str">
        <f>IF(MOD(YEAR(AL8),4)=0,IF(MOD(YEAR(AL8),400)&gt;0,"Yes","No"),"No")</f>
        <v>Yes</v>
      </c>
    </row>
    <row r="13" spans="2:38" ht="16" customHeight="1" x14ac:dyDescent="0.2">
      <c r="B13" s="154">
        <f>IF(IF(DAY(EOMONTH(DATE(YEAR($B$10),MONTH($B$10),1),0))&gt;IF(H12&gt;=1,H12,IF(VLOOKUP(B$11,Conversion!$F$51:$G$57,2,FALSE)=WEEKDAY(DATE(YEAR($B$10),MONTH($B$10),1)),1,0)),IF(H12&gt;=1,H12+1,IF(VLOOKUP(B$11,Conversion!$F$51:$G$57,2,FALSE)=WEEKDAY(DATE(Year,MONTH($B$10),1)),1,0)),0)&lt;B$12,0,IF(DAY(EOMONTH(DATE(YEAR($B$10),MONTH($B$10),1),0))&gt;IF(H12&gt;=1,H12,IF(VLOOKUP(B$11,Conversion!$F$51:$G$57,2,FALSE)=WEEKDAY(DATE(YEAR($B$10),MONTH($B$10),1)),1,0)),IF(H12&gt;=1,H12+1,IF(VLOOKUP(B$11,Conversion!$F$51:$G$57,2,FALSE)=WEEKDAY(DATE(YEAR($B$10),MONTH($B$10),1)),1,0)),0))</f>
        <v>5</v>
      </c>
      <c r="C13" s="155">
        <f>IF(IF(DAY(EOMONTH(DATE(Year,MONTH($B$10),1),0))&gt;IF(B13&gt;=1,B13,IF(VLOOKUP(C$11,Conversion!$F$51:$G$57,2,FALSE)=WEEKDAY(DATE(Year,MONTH($B$10),1)),1,0)),IF(B13&gt;=1,B13+1,IF(VLOOKUP(C$11,Conversion!$F$51:$G$57,2,FALSE)=WEEKDAY(DATE(Year,MONTH($B$10),1)),1,0)),0)&lt;C12,0,IF(DAY(EOMONTH(DATE(Year,MONTH($B$10),1),0))&gt;IF(B13&gt;=1,B13,IF(VLOOKUP(C$11,Conversion!$F$51:$G$57,2,FALSE)=WEEKDAY(DATE(Year,MONTH($B$10),1)),1,0)),IF(B13&gt;=1,B13+1,IF(VLOOKUP(C$11,Conversion!$F$51:$G$57,2,FALSE)=WEEKDAY(DATE(Year,MONTH($B$10),1)),1,0)),0))</f>
        <v>6</v>
      </c>
      <c r="D13" s="155">
        <f>IF(IF(DAY(EOMONTH(DATE(Year,MONTH($B$10),1),0))&gt;IF(C13&gt;=1,C13,IF(VLOOKUP(D$11,Conversion!$F$51:$G$57,2,FALSE)=WEEKDAY(DATE(Year,MONTH($B$10),1)),1,0)),IF(C13&gt;=1,C13+1,IF(VLOOKUP(D$11,Conversion!$F$51:$G$57,2,FALSE)=WEEKDAY(DATE(Year,MONTH($B$10),1)),1,0)),0)&lt;D12,0,IF(DAY(EOMONTH(DATE(Year,MONTH($B$10),1),0))&gt;IF(C13&gt;=1,C13,IF(VLOOKUP(D$11,Conversion!$F$51:$G$57,2,FALSE)=WEEKDAY(DATE(Year,MONTH($B$10),1)),1,0)),IF(C13&gt;=1,C13+1,IF(VLOOKUP(D$11,Conversion!$F$51:$G$57,2,FALSE)=WEEKDAY(DATE(Year,MONTH($B$10),1)),1,0)),0))</f>
        <v>7</v>
      </c>
      <c r="E13" s="155">
        <f>IF(IF(DAY(EOMONTH(DATE(Year,MONTH($B$10),1),0))&gt;IF(D13&gt;=1,D13,IF(VLOOKUP(E$11,Conversion!$F$51:$G$57,2,FALSE)=WEEKDAY(DATE(Year,MONTH($B$10),1)),1,0)),IF(D13&gt;=1,D13+1,IF(VLOOKUP(E$11,Conversion!$F$51:$G$57,2,FALSE)=WEEKDAY(DATE(Year,MONTH($B$10),1)),1,0)),0)&lt;E12,0,IF(DAY(EOMONTH(DATE(Year,MONTH($B$10),1),0))&gt;IF(D13&gt;=1,D13,IF(VLOOKUP(E$11,Conversion!$F$51:$G$57,2,FALSE)=WEEKDAY(DATE(Year,MONTH($B$10),1)),1,0)),IF(D13&gt;=1,D13+1,IF(VLOOKUP(E$11,Conversion!$F$51:$G$57,2,FALSE)=WEEKDAY(DATE(Year,MONTH($B$10),1)),1,0)),0))</f>
        <v>8</v>
      </c>
      <c r="F13" s="155">
        <f>IF(IF(DAY(EOMONTH(DATE(Year,MONTH($B$10),1),0))&gt;IF(E13&gt;=1,E13,IF(VLOOKUP(F$11,Conversion!$F$51:$G$57,2,FALSE)=WEEKDAY(DATE(Year,MONTH($B$10),1)),1,0)),IF(E13&gt;=1,E13+1,IF(VLOOKUP(F$11,Conversion!$F$51:$G$57,2,FALSE)=WEEKDAY(DATE(Year,MONTH($B$10),1)),1,0)),0)&lt;F12,0,IF(DAY(EOMONTH(DATE(Year,MONTH($B$10),1),0))&gt;IF(E13&gt;=1,E13,IF(VLOOKUP(F$11,Conversion!$F$51:$G$57,2,FALSE)=WEEKDAY(DATE(Year,MONTH($B$10),1)),1,0)),IF(E13&gt;=1,E13+1,IF(VLOOKUP(F$11,Conversion!$F$51:$G$57,2,FALSE)=WEEKDAY(DATE(Year,MONTH($B$10),1)),1,0)),0))</f>
        <v>9</v>
      </c>
      <c r="G13" s="155">
        <f>IF(IF(DAY(EOMONTH(DATE(Year,MONTH($B$10),1),0))&gt;IF(F13&gt;=1,F13,IF(VLOOKUP(G$11,Conversion!$F$51:$G$57,2,FALSE)=WEEKDAY(DATE(Year,MONTH($B$10),1)),1,0)),IF(F13&gt;=1,F13+1,IF(VLOOKUP(G$11,Conversion!$F$51:$G$57,2,FALSE)=WEEKDAY(DATE(Year,MONTH($B$10),1)),1,0)),0)&lt;G12,0,IF(DAY(EOMONTH(DATE(Year,MONTH($B$10),1),0))&gt;IF(F13&gt;=1,F13,IF(VLOOKUP(G$11,Conversion!$F$51:$G$57,2,FALSE)=WEEKDAY(DATE(Year,MONTH($B$10),1)),1,0)),IF(F13&gt;=1,F13+1,IF(VLOOKUP(G$11,Conversion!$F$51:$G$57,2,FALSE)=WEEKDAY(DATE(Year,MONTH($B$10),1)),1,0)),0))</f>
        <v>10</v>
      </c>
      <c r="H13" s="156">
        <f>IF(IF(DAY(EOMONTH(DATE(Year,MONTH($B$10),1),0))&gt;IF(G13&gt;=1,G13,IF(VLOOKUP(H$11,Conversion!$F$51:$G$57,2,FALSE)=WEEKDAY(DATE(Year,MONTH($B$10),1)),1,0)),IF(G13&gt;=1,G13+1,IF(VLOOKUP(H$11,Conversion!$F$51:$G$57,2,FALSE)=WEEKDAY(DATE(Year,MONTH($B$10),1)),1,0)),0)&lt;H12,0,IF(DAY(EOMONTH(DATE(Year,MONTH($B$10),1),0))&gt;IF(G13&gt;=1,G13,IF(VLOOKUP(H$11,Conversion!$F$51:$G$57,2,FALSE)=WEEKDAY(DATE(Year,MONTH($B$10),1)),1,0)),IF(G13&gt;=1,G13+1,IF(VLOOKUP(H$11,Conversion!$F$51:$G$57,2,FALSE)=WEEKDAY(DATE(Year,MONTH($B$10),1)),1,0)),0))</f>
        <v>11</v>
      </c>
      <c r="I13" s="150"/>
      <c r="J13" s="154">
        <f>IF(IF(DAY(EOMONTH(DATE(YEAR($J$10),MONTH($J$10),1),0))&gt;IF(P12&gt;=1,P12,IF(VLOOKUP(J$11,Conversion!$F$51:$G$57,2,FALSE)=WEEKDAY(DATE(YEAR($J$10),MONTH($J$10),1)),1,0)),IF(P12&gt;=1,P12+1,IF(VLOOKUP(J$11,Conversion!$F$51:$G$57,2,FALSE)=WEEKDAY(DATE(Year,MONTH($J$10),1)),1,0)),0)&lt;J12,0,IF(DAY(EOMONTH(DATE(YEAR($J$10),MONTH($J$10),1),0))&gt;IF(P12&gt;=1,P12,IF(VLOOKUP(J$11,Conversion!$F$51:$G$57,2,FALSE)=WEEKDAY(DATE(YEAR($J$10),MONTH($J$10),1)),1,0)),IF(P12&gt;=1,P12+1,IF(VLOOKUP(J$11,Conversion!$F$51:$G$57,2,FALSE)=WEEKDAY(DATE(YEAR($J$10),MONTH($J$10),1)),1,0)),0))</f>
        <v>2</v>
      </c>
      <c r="K13" s="155">
        <f>IF(IF(DAY(EOMONTH(DATE(Year,MONTH($J$10),1),0))&gt;IF(J13&gt;=1,J13,IF(VLOOKUP(K$11,Conversion!$F$51:$G$57,2,FALSE)=WEEKDAY(DATE(Year,MONTH($J$10),1)),1,0)),IF(J13&gt;=1,J13+1,IF(VLOOKUP(K$11,Conversion!$F$51:$G$57,2,FALSE)=WEEKDAY(DATE(Year,MONTH($J$10),1)),1,0)),0)&lt;K12,0,IF(DAY(EOMONTH(DATE(Year,MONTH($J$10),1),0))&gt;IF(J13&gt;=1,J13,IF(VLOOKUP(K$11,Conversion!$F$51:$G$57,2,FALSE)=WEEKDAY(DATE(Year,MONTH($J$10),1)),1,0)),IF(J13&gt;=1,J13+1,IF(VLOOKUP(K$11,Conversion!$F$51:$G$57,2,FALSE)=WEEKDAY(DATE(Year,MONTH($J$10),1)),1,0)),0))</f>
        <v>3</v>
      </c>
      <c r="L13" s="155">
        <f>IF(IF(DAY(EOMONTH(DATE(Year,MONTH($J$10),1),0))&gt;IF(K13&gt;=1,K13,IF(VLOOKUP(L$11,Conversion!$F$51:$G$57,2,FALSE)=WEEKDAY(DATE(Year,MONTH($J$10),1)),1,0)),IF(K13&gt;=1,K13+1,IF(VLOOKUP(L$11,Conversion!$F$51:$G$57,2,FALSE)=WEEKDAY(DATE(Year,MONTH($J$10),1)),1,0)),0)&lt;L12,0,IF(DAY(EOMONTH(DATE(Year,MONTH($J$10),1),0))&gt;IF(K13&gt;=1,K13,IF(VLOOKUP(L$11,Conversion!$F$51:$G$57,2,FALSE)=WEEKDAY(DATE(Year,MONTH($J$10),1)),1,0)),IF(K13&gt;=1,K13+1,IF(VLOOKUP(L$11,Conversion!$F$51:$G$57,2,FALSE)=WEEKDAY(DATE(Year,MONTH($J$10),1)),1,0)),0))</f>
        <v>4</v>
      </c>
      <c r="M13" s="155">
        <f>IF(IF(DAY(EOMONTH(DATE(Year,MONTH($J$10),1),0))&gt;IF(L13&gt;=1,L13,IF(VLOOKUP(M$11,Conversion!$F$51:$G$57,2,FALSE)=WEEKDAY(DATE(Year,MONTH($J$10),1)),1,0)),IF(L13&gt;=1,L13+1,IF(VLOOKUP(M$11,Conversion!$F$51:$G$57,2,FALSE)=WEEKDAY(DATE(Year,MONTH($J$10),1)),1,0)),0)&lt;M12,0,IF(DAY(EOMONTH(DATE(Year,MONTH($J$10),1),0))&gt;IF(L13&gt;=1,L13,IF(VLOOKUP(M$11,Conversion!$F$51:$G$57,2,FALSE)=WEEKDAY(DATE(Year,MONTH($J$10),1)),1,0)),IF(L13&gt;=1,L13+1,IF(VLOOKUP(M$11,Conversion!$F$51:$G$57,2,FALSE)=WEEKDAY(DATE(Year,MONTH($J$10),1)),1,0)),0))</f>
        <v>5</v>
      </c>
      <c r="N13" s="155">
        <f>IF(IF(DAY(EOMONTH(DATE(Year,MONTH($J$10),1),0))&gt;IF(M13&gt;=1,M13,IF(VLOOKUP(N$11,Conversion!$F$51:$G$57,2,FALSE)=WEEKDAY(DATE(Year,MONTH($J$10),1)),1,0)),IF(M13&gt;=1,M13+1,IF(VLOOKUP(N$11,Conversion!$F$51:$G$57,2,FALSE)=WEEKDAY(DATE(Year,MONTH($J$10),1)),1,0)),0)&lt;N12,0,IF(DAY(EOMONTH(DATE(Year,MONTH($J$10),1),0))&gt;IF(M13&gt;=1,M13,IF(VLOOKUP(N$11,Conversion!$F$51:$G$57,2,FALSE)=WEEKDAY(DATE(Year,MONTH($J$10),1)),1,0)),IF(M13&gt;=1,M13+1,IF(VLOOKUP(N$11,Conversion!$F$51:$G$57,2,FALSE)=WEEKDAY(DATE(Year,MONTH($J$10),1)),1,0)),0))</f>
        <v>6</v>
      </c>
      <c r="O13" s="155">
        <f>IF(IF(DAY(EOMONTH(DATE(Year,MONTH($J$10),1),0))&gt;IF(N13&gt;=1,N13,IF(VLOOKUP(O$11,Conversion!$F$51:$G$57,2,FALSE)=WEEKDAY(DATE(Year,MONTH($J$10),1)),1,0)),IF(N13&gt;=1,N13+1,IF(VLOOKUP(O$11,Conversion!$F$51:$G$57,2,FALSE)=WEEKDAY(DATE(Year,MONTH($J$10),1)),1,0)),0)&lt;O12,0,IF(DAY(EOMONTH(DATE(Year,MONTH($J$10),1),0))&gt;IF(N13&gt;=1,N13,IF(VLOOKUP(O$11,Conversion!$F$51:$G$57,2,FALSE)=WEEKDAY(DATE(Year,MONTH($J$10),1)),1,0)),IF(N13&gt;=1,N13+1,IF(VLOOKUP(O$11,Conversion!$F$51:$G$57,2,FALSE)=WEEKDAY(DATE(Year,MONTH($J$10),1)),1,0)),0))</f>
        <v>7</v>
      </c>
      <c r="P13" s="156">
        <f>IF(IF(DAY(EOMONTH(DATE(Year,MONTH($J$10),1),0))&gt;IF(O13&gt;=1,O13,IF(VLOOKUP(P$11,Conversion!$F$51:$G$57,2,FALSE)=WEEKDAY(DATE(Year,MONTH($J$10),1)),1,0)),IF(O13&gt;=1,O13+1,IF(VLOOKUP(P$11,Conversion!$F$51:$G$57,2,FALSE)=WEEKDAY(DATE(Year,MONTH($J$10),1)),1,0)),0)&lt;P12,0,IF(DAY(EOMONTH(DATE(Year,MONTH($J$10),1),0))&gt;IF(O13&gt;=1,O13,IF(VLOOKUP(P$11,Conversion!$F$51:$G$57,2,FALSE)=WEEKDAY(DATE(Year,MONTH($J$10),1)),1,0)),IF(O13&gt;=1,O13+1,IF(VLOOKUP(P$11,Conversion!$F$51:$G$57,2,FALSE)=WEEKDAY(DATE(Year,MONTH($J$10),1)),1,0)),0))</f>
        <v>8</v>
      </c>
      <c r="Q13" s="7"/>
      <c r="S13" s="163" t="s">
        <v>81</v>
      </c>
      <c r="T13" s="183">
        <f>AH8</f>
        <v>45435</v>
      </c>
      <c r="U13" s="183" t="str">
        <f>AH10</f>
        <v>Thursday</v>
      </c>
      <c r="V13" s="184">
        <f>AH9</f>
        <v>0.57939814814814816</v>
      </c>
      <c r="Z13" s="12" t="s">
        <v>80</v>
      </c>
      <c r="AA13" s="11">
        <f>INT(275*MONTH(AA8)/9)-(IF(MOD(YEAR(AA8),4)=0,IF(MOD(YEAR(AA8),400)&gt;0,1,2),2))*INT((MONTH(AA8)+9)/12)+DAY(AA8)-30</f>
        <v>122</v>
      </c>
      <c r="AC13" s="12" t="s">
        <v>80</v>
      </c>
      <c r="AD13" s="11">
        <f>INT(275*MONTH(AD8)/9)-(IF(MOD(YEAR(AD8),4)=0,IF(MOD(YEAR(AD8),400)&gt;0,1,2),2))*INT((MONTH(AD8)+9)/12)+DAY(AD8)-30</f>
        <v>129</v>
      </c>
      <c r="AE13" s="12" t="s">
        <v>80</v>
      </c>
      <c r="AF13" s="11">
        <f>INT(275*MONTH(AF8)/9)-(IF(MOD(YEAR(AF8),4)=0,IF(MOD(YEAR(AF8),400)&gt;0,1,2),2))*INT((MONTH(AF8)+9)/12)+DAY(AF8)-30</f>
        <v>136</v>
      </c>
      <c r="AG13" s="12" t="s">
        <v>80</v>
      </c>
      <c r="AH13" s="11">
        <f>INT(275*MONTH(AH8)/9)-(IF(MOD(YEAR(AH8),4)=0,IF(MOD(YEAR(AH8),400)&gt;0,1,2),2))*INT((MONTH(AH8)+9)/12)+DAY(AH8)-30</f>
        <v>144</v>
      </c>
      <c r="AI13" s="12" t="s">
        <v>80</v>
      </c>
      <c r="AJ13" s="11">
        <f>INT(275*MONTH(AJ8)/9)-(IF(MOD(YEAR(AJ8),4)=0,IF(MOD(YEAR(AJ8),400)&gt;0,1,2),2))*INT((MONTH(AJ8)+9)/12)+DAY(AJ8)-30</f>
        <v>151</v>
      </c>
      <c r="AK13" s="12" t="s">
        <v>80</v>
      </c>
      <c r="AL13" s="11">
        <f>INT(275*MONTH(AL8)/9)-(IF(MOD(YEAR(AL8),4)=0,IF(MOD(YEAR(AL8),400)&gt;0,1,2),2))*INT((MONTH(AL8)+9)/12)+DAY(AL8)-30</f>
        <v>158</v>
      </c>
    </row>
    <row r="14" spans="2:38" ht="16" customHeight="1" x14ac:dyDescent="0.2">
      <c r="B14" s="154">
        <f>IF(IF(DAY(EOMONTH(DATE(YEAR($B$10),MONTH($B$10),1),0))&gt;IF(H13&gt;=1,H13,IF(VLOOKUP(B$11,Conversion!$F$51:$G$57,2,FALSE)=WEEKDAY(DATE(YEAR($B$10),MONTH($B$10),1)),1,0)),IF(H13&gt;=1,H13+1,IF(VLOOKUP(B$11,Conversion!$F$51:$G$57,2,FALSE)=WEEKDAY(DATE(Year,MONTH($B$10),1)),1,0)),0)&lt;B12,0,IF(DAY(EOMONTH(DATE(YEAR($B$10),MONTH($B$10),1),0))&gt;IF(H13&gt;=1,H13,IF(VLOOKUP(B$11,Conversion!$F$51:$G$57,2,FALSE)=WEEKDAY(DATE(YEAR($B$10),MONTH($B$10),1)),1,0)),IF(H13&gt;=1,H13+1,IF(VLOOKUP(B$11,Conversion!$F$51:$G$57,2,FALSE)=WEEKDAY(DATE(YEAR($B$10),MONTH($B$10),1)),1,0)),0))</f>
        <v>12</v>
      </c>
      <c r="C14" s="155">
        <f>IF(IF(DAY(EOMONTH(DATE(Year,MONTH($B$10),1),0))&gt;IF(B14&gt;=1,B14,IF(VLOOKUP(C$11,Conversion!$F$51:$G$57,2,FALSE)=WEEKDAY(DATE(Year,MONTH($B$10),1)),1,0)),IF(B14&gt;=1,B14+1,IF(VLOOKUP(C$11,Conversion!$F$51:$G$57,2,FALSE)=WEEKDAY(DATE(Year,MONTH($B$10),1)),1,0)),0)&lt;C12,0,IF(DAY(EOMONTH(DATE(Year,MONTH($B$10),1),0))&gt;IF(B14&gt;=1,B14,IF(VLOOKUP(C$11,Conversion!$F$51:$G$57,2,FALSE)=WEEKDAY(DATE(Year,MONTH($B$10),1)),1,0)),IF(B14&gt;=1,B14+1,IF(VLOOKUP(C$11,Conversion!$F$51:$G$57,2,FALSE)=WEEKDAY(DATE(Year,MONTH($B$10),1)),1,0)),0))</f>
        <v>13</v>
      </c>
      <c r="D14" s="155">
        <f>IF(IF(DAY(EOMONTH(DATE(Year,MONTH($B$10),1),0))&gt;IF(C14&gt;=1,C14,IF(VLOOKUP(D$11,Conversion!$F$51:$G$57,2,FALSE)=WEEKDAY(DATE(Year,MONTH($B$10),1)),1,0)),IF(C14&gt;=1,C14+1,IF(VLOOKUP(D$11,Conversion!$F$51:$G$57,2,FALSE)=WEEKDAY(DATE(Year,MONTH($B$10),1)),1,0)),0)&lt;D12,0,IF(DAY(EOMONTH(DATE(Year,MONTH($B$10),1),0))&gt;IF(C14&gt;=1,C14,IF(VLOOKUP(D$11,Conversion!$F$51:$G$57,2,FALSE)=WEEKDAY(DATE(Year,MONTH($B$10),1)),1,0)),IF(C14&gt;=1,C14+1,IF(VLOOKUP(D$11,Conversion!$F$51:$G$57,2,FALSE)=WEEKDAY(DATE(Year,MONTH($B$10),1)),1,0)),0))</f>
        <v>14</v>
      </c>
      <c r="E14" s="155">
        <f>IF(IF(DAY(EOMONTH(DATE(Year,MONTH($B$10),1),0))&gt;IF(D14&gt;=1,D14,IF(VLOOKUP(E$11,Conversion!$F$51:$G$57,2,FALSE)=WEEKDAY(DATE(Year,MONTH($B$10),1)),1,0)),IF(D14&gt;=1,D14+1,IF(VLOOKUP(E$11,Conversion!$F$51:$G$57,2,FALSE)=WEEKDAY(DATE(Year,MONTH($B$10),1)),1,0)),0)&lt;E12,0,IF(DAY(EOMONTH(DATE(Year,MONTH($B$10),1),0))&gt;IF(D14&gt;=1,D14,IF(VLOOKUP(E$11,Conversion!$F$51:$G$57,2,FALSE)=WEEKDAY(DATE(Year,MONTH($B$10),1)),1,0)),IF(D14&gt;=1,D14+1,IF(VLOOKUP(E$11,Conversion!$F$51:$G$57,2,FALSE)=WEEKDAY(DATE(Year,MONTH($B$10),1)),1,0)),0))</f>
        <v>15</v>
      </c>
      <c r="F14" s="155">
        <f>IF(IF(DAY(EOMONTH(DATE(Year,MONTH($B$10),1),0))&gt;IF(E14&gt;=1,E14,IF(VLOOKUP(F$11,Conversion!$F$51:$G$57,2,FALSE)=WEEKDAY(DATE(Year,MONTH($B$10),1)),1,0)),IF(E14&gt;=1,E14+1,IF(VLOOKUP(F$11,Conversion!$F$51:$G$57,2,FALSE)=WEEKDAY(DATE(Year,MONTH($B$10),1)),1,0)),0)&lt;F12,0,IF(DAY(EOMONTH(DATE(Year,MONTH($B$10),1),0))&gt;IF(E14&gt;=1,E14,IF(VLOOKUP(F$11,Conversion!$F$51:$G$57,2,FALSE)=WEEKDAY(DATE(Year,MONTH($B$10),1)),1,0)),IF(E14&gt;=1,E14+1,IF(VLOOKUP(F$11,Conversion!$F$51:$G$57,2,FALSE)=WEEKDAY(DATE(Year,MONTH($B$10),1)),1,0)),0))</f>
        <v>16</v>
      </c>
      <c r="G14" s="155">
        <f>IF(IF(DAY(EOMONTH(DATE(Year,MONTH($B$10),1),0))&gt;IF(F14&gt;=1,F14,IF(VLOOKUP(G$11,Conversion!$F$51:$G$57,2,FALSE)=WEEKDAY(DATE(Year,MONTH($B$10),1)),1,0)),IF(F14&gt;=1,F14+1,IF(VLOOKUP(G$11,Conversion!$F$51:$G$57,2,FALSE)=WEEKDAY(DATE(Year,MONTH($B$10),1)),1,0)),0)&lt;G12,0,IF(DAY(EOMONTH(DATE(Year,MONTH($B$10),1),0))&gt;IF(F14&gt;=1,F14,IF(VLOOKUP(G$11,Conversion!$F$51:$G$57,2,FALSE)=WEEKDAY(DATE(Year,MONTH($B$10),1)),1,0)),IF(F14&gt;=1,F14+1,IF(VLOOKUP(G$11,Conversion!$F$51:$G$57,2,FALSE)=WEEKDAY(DATE(Year,MONTH($B$10),1)),1,0)),0))</f>
        <v>17</v>
      </c>
      <c r="H14" s="156">
        <f>IF(IF(DAY(EOMONTH(DATE(Year,MONTH($B$10),1),0))&gt;IF(G14&gt;=1,G14,IF(VLOOKUP(H$11,Conversion!$F$51:$G$57,2,FALSE)=WEEKDAY(DATE(Year,MONTH($B$10),1)),1,0)),IF(G14&gt;=1,G14+1,IF(VLOOKUP(H$11,Conversion!$F$51:$G$57,2,FALSE)=WEEKDAY(DATE(Year,MONTH($B$10),1)),1,0)),0)&lt;H12,0,IF(DAY(EOMONTH(DATE(Year,MONTH($B$10),1),0))&gt;IF(G14&gt;=1,G14,IF(VLOOKUP(H$11,Conversion!$F$51:$G$57,2,FALSE)=WEEKDAY(DATE(Year,MONTH($B$10),1)),1,0)),IF(G14&gt;=1,G14+1,IF(VLOOKUP(H$11,Conversion!$F$51:$G$57,2,FALSE)=WEEKDAY(DATE(Year,MONTH($B$10),1)),1,0)),0))</f>
        <v>18</v>
      </c>
      <c r="I14" s="150"/>
      <c r="J14" s="154">
        <f>IF(IF(DAY(EOMONTH(DATE(YEAR($J$10),MONTH($J$10),1),0))&gt;IF(P13&gt;=1,P13,IF(VLOOKUP(J$11,Conversion!$F$51:$G$57,2,FALSE)=WEEKDAY(DATE(YEAR($J$10),MONTH($J$10),1)),1,0)),IF(P13&gt;=1,P13+1,IF(VLOOKUP(J$11,Conversion!$F$51:$G$57,2,FALSE)=WEEKDAY(DATE(Year,MONTH($J$10),1)),1,0)),0)&lt;J12,0,IF(DAY(EOMONTH(DATE(YEAR($J$10),MONTH($J$10),1),0))&gt;IF(P13&gt;=1,P13,IF(VLOOKUP(J$11,Conversion!$F$51:$G$57,2,FALSE)=WEEKDAY(DATE(YEAR($J$10),MONTH($J$10),1)),1,0)),IF(P13&gt;=1,P13+1,IF(VLOOKUP(J$11,Conversion!$F$51:$G$57,2,FALSE)=WEEKDAY(DATE(YEAR($J$10),MONTH($J$10),1)),1,0)),0))</f>
        <v>9</v>
      </c>
      <c r="K14" s="155">
        <f>IF(IF(DAY(EOMONTH(DATE(Year,MONTH($J$10),1),0))&gt;IF(J14&gt;=1,J14,IF(VLOOKUP(K$11,Conversion!$F$51:$G$57,2,FALSE)=WEEKDAY(DATE(Year,MONTH($J$10),1)),1,0)),IF(J14&gt;=1,J14+1,IF(VLOOKUP(K$11,Conversion!$F$51:$G$57,2,FALSE)=WEEKDAY(DATE(Year,MONTH($J$10),1)),1,0)),0)&lt;K12,0,IF(DAY(EOMONTH(DATE(Year,MONTH($J$10),1),0))&gt;IF(J14&gt;=1,J14,IF(VLOOKUP(K$11,Conversion!$F$51:$G$57,2,FALSE)=WEEKDAY(DATE(Year,MONTH($J$10),1)),1,0)),IF(J14&gt;=1,J14+1,IF(VLOOKUP(K$11,Conversion!$F$51:$G$57,2,FALSE)=WEEKDAY(DATE(Year,MONTH($J$10),1)),1,0)),0))</f>
        <v>10</v>
      </c>
      <c r="L14" s="155">
        <f>IF(IF(DAY(EOMONTH(DATE(Year,MONTH($J$10),1),0))&gt;IF(K14&gt;=1,K14,IF(VLOOKUP(L$11,Conversion!$F$51:$G$57,2,FALSE)=WEEKDAY(DATE(Year,MONTH($J$10),1)),1,0)),IF(K14&gt;=1,K14+1,IF(VLOOKUP(L$11,Conversion!$F$51:$G$57,2,FALSE)=WEEKDAY(DATE(Year,MONTH($J$10),1)),1,0)),0)&lt;L12,0,IF(DAY(EOMONTH(DATE(Year,MONTH($J$10),1),0))&gt;IF(K14&gt;=1,K14,IF(VLOOKUP(L$11,Conversion!$F$51:$G$57,2,FALSE)=WEEKDAY(DATE(Year,MONTH($J$10),1)),1,0)),IF(K14&gt;=1,K14+1,IF(VLOOKUP(L$11,Conversion!$F$51:$G$57,2,FALSE)=WEEKDAY(DATE(Year,MONTH($J$10),1)),1,0)),0))</f>
        <v>11</v>
      </c>
      <c r="M14" s="155">
        <f>IF(IF(DAY(EOMONTH(DATE(Year,MONTH($J$10),1),0))&gt;IF(L14&gt;=1,L14,IF(VLOOKUP(M$11,Conversion!$F$51:$G$57,2,FALSE)=WEEKDAY(DATE(Year,MONTH($J$10),1)),1,0)),IF(L14&gt;=1,L14+1,IF(VLOOKUP(M$11,Conversion!$F$51:$G$57,2,FALSE)=WEEKDAY(DATE(Year,MONTH($J$10),1)),1,0)),0)&lt;M12,0,IF(DAY(EOMONTH(DATE(Year,MONTH($J$10),1),0))&gt;IF(L14&gt;=1,L14,IF(VLOOKUP(M$11,Conversion!$F$51:$G$57,2,FALSE)=WEEKDAY(DATE(Year,MONTH($J$10),1)),1,0)),IF(L14&gt;=1,L14+1,IF(VLOOKUP(M$11,Conversion!$F$51:$G$57,2,FALSE)=WEEKDAY(DATE(Year,MONTH($J$10),1)),1,0)),0))</f>
        <v>12</v>
      </c>
      <c r="N14" s="155">
        <f>IF(IF(DAY(EOMONTH(DATE(Year,MONTH($J$10),1),0))&gt;IF(M14&gt;=1,M14,IF(VLOOKUP(N$11,Conversion!$F$51:$G$57,2,FALSE)=WEEKDAY(DATE(Year,MONTH($J$10),1)),1,0)),IF(M14&gt;=1,M14+1,IF(VLOOKUP(N$11,Conversion!$F$51:$G$57,2,FALSE)=WEEKDAY(DATE(Year,MONTH($J$10),1)),1,0)),0)&lt;N12,0,IF(DAY(EOMONTH(DATE(Year,MONTH($J$10),1),0))&gt;IF(M14&gt;=1,M14,IF(VLOOKUP(N$11,Conversion!$F$51:$G$57,2,FALSE)=WEEKDAY(DATE(Year,MONTH($J$10),1)),1,0)),IF(M14&gt;=1,M14+1,IF(VLOOKUP(N$11,Conversion!$F$51:$G$57,2,FALSE)=WEEKDAY(DATE(Year,MONTH($J$10),1)),1,0)),0))</f>
        <v>13</v>
      </c>
      <c r="O14" s="155">
        <f>IF(IF(DAY(EOMONTH(DATE(Year,MONTH($J$10),1),0))&gt;IF(N14&gt;=1,N14,IF(VLOOKUP(O$11,Conversion!$F$51:$G$57,2,FALSE)=WEEKDAY(DATE(Year,MONTH($J$10),1)),1,0)),IF(N14&gt;=1,N14+1,IF(VLOOKUP(O$11,Conversion!$F$51:$G$57,2,FALSE)=WEEKDAY(DATE(Year,MONTH($J$10),1)),1,0)),0)&lt;O12,0,IF(DAY(EOMONTH(DATE(Year,MONTH($J$10),1),0))&gt;IF(N14&gt;=1,N14,IF(VLOOKUP(O$11,Conversion!$F$51:$G$57,2,FALSE)=WEEKDAY(DATE(Year,MONTH($J$10),1)),1,0)),IF(N14&gt;=1,N14+1,IF(VLOOKUP(O$11,Conversion!$F$51:$G$57,2,FALSE)=WEEKDAY(DATE(Year,MONTH($J$10),1)),1,0)),0))</f>
        <v>14</v>
      </c>
      <c r="P14" s="156">
        <f>IF(IF(DAY(EOMONTH(DATE(Year,MONTH($J$10),1),0))&gt;IF(O14&gt;=1,O14,IF(VLOOKUP(P$11,Conversion!$F$51:$G$57,2,FALSE)=WEEKDAY(DATE(Year,MONTH($J$10),1)),1,0)),IF(O14&gt;=1,O14+1,IF(VLOOKUP(P$11,Conversion!$F$51:$G$57,2,FALSE)=WEEKDAY(DATE(Year,MONTH($J$10),1)),1,0)),0)&lt;P12,0,IF(DAY(EOMONTH(DATE(Year,MONTH($J$10),1),0))&gt;IF(O14&gt;=1,O14,IF(VLOOKUP(P$11,Conversion!$F$51:$G$57,2,FALSE)=WEEKDAY(DATE(Year,MONTH($J$10),1)),1,0)),IF(O14&gt;=1,O14+1,IF(VLOOKUP(P$11,Conversion!$F$51:$G$57,2,FALSE)=WEEKDAY(DATE(Year,MONTH($J$10),1)),1,0)),0))</f>
        <v>15</v>
      </c>
      <c r="Q14" s="7"/>
      <c r="S14" s="162" t="s">
        <v>79</v>
      </c>
      <c r="T14" s="183">
        <f>AJ8</f>
        <v>45442</v>
      </c>
      <c r="U14" s="183" t="str">
        <f>AJ10</f>
        <v>Thursday</v>
      </c>
      <c r="V14" s="184">
        <f>AJ9</f>
        <v>0.71785879629629634</v>
      </c>
      <c r="AA14" s="8">
        <f>INT(MOD((AA11+1.5),7))</f>
        <v>3</v>
      </c>
      <c r="AC14" s="10"/>
      <c r="AD14" s="8">
        <f>INT(MOD((AD11+1.5),7))</f>
        <v>3</v>
      </c>
      <c r="AE14" s="10"/>
      <c r="AF14" s="8">
        <f>INT(MOD((AF11+1.5),7))</f>
        <v>3</v>
      </c>
      <c r="AG14" s="9"/>
      <c r="AH14" s="8">
        <f>INT(MOD((AH11+1.5),7))</f>
        <v>4</v>
      </c>
      <c r="AI14" s="9"/>
      <c r="AJ14" s="8">
        <f>INT(MOD((AJ11+1.5),7))</f>
        <v>4</v>
      </c>
      <c r="AL14" s="8">
        <f>INT(MOD((AL11+1.5),7))</f>
        <v>4</v>
      </c>
    </row>
    <row r="15" spans="2:38" ht="16" customHeight="1" x14ac:dyDescent="0.2">
      <c r="B15" s="154">
        <f>IF(IF(DAY(EOMONTH(DATE(YEAR($B$10),MONTH($B$10),1),0))&gt;IF(H14&gt;=1,H14,IF(VLOOKUP(B$11,Conversion!$F$51:$G$57,2,FALSE)=WEEKDAY(DATE(YEAR($B$10),MONTH($B$10),1)),1,0)),IF(H14&gt;=1,H14+1,IF(VLOOKUP(B$11,Conversion!$F$51:$G$57,2,FALSE)=WEEKDAY(DATE(Year,MONTH($B$10),1)),1,0)),0)&lt;B13,0,IF(DAY(EOMONTH(DATE(YEAR($B$10),MONTH($B$10),1),0))&gt;IF(H14&gt;=1,H14,IF(VLOOKUP(B$11,Conversion!$F$51:$G$57,2,FALSE)=WEEKDAY(DATE(YEAR($B$10),MONTH($B$10),1)),1,0)),IF(H14&gt;=1,H14+1,IF(VLOOKUP(B$11,Conversion!$F$51:$G$57,2,FALSE)=WEEKDAY(DATE(YEAR($B$10),MONTH($B$10),1)),1,0)),0))</f>
        <v>19</v>
      </c>
      <c r="C15" s="155">
        <f>IF(IF(DAY(EOMONTH(DATE(Year,MONTH($B$10),1),0))&gt;IF(B15&gt;=1,B15,IF(VLOOKUP(C$11,Conversion!$F$51:$G$57,2,FALSE)=WEEKDAY(DATE(Year,MONTH($B$10),1)),1,0)),IF(B15&gt;=1,B15+1,IF(VLOOKUP(C$11,Conversion!$F$51:$G$57,2,FALSE)=WEEKDAY(DATE(Year,MONTH($B$10),1)),1,0)),0)&lt;C13,0,IF(DAY(EOMONTH(DATE(Year,MONTH($B$10),1),0))&gt;IF(B15&gt;=1,B15,IF(VLOOKUP(C$11,Conversion!$F$51:$G$57,2,FALSE)=WEEKDAY(DATE(Year,MONTH($B$10),1)),1,0)),IF(B15&gt;=1,B15+1,IF(VLOOKUP(C$11,Conversion!$F$51:$G$57,2,FALSE)=WEEKDAY(DATE(Year,MONTH($B$10),1)),1,0)),0))</f>
        <v>20</v>
      </c>
      <c r="D15" s="155">
        <f>IF(IF(DAY(EOMONTH(DATE(Year,MONTH($B$10),1),0))&gt;IF(C15&gt;=1,C15,IF(VLOOKUP(D$11,Conversion!$F$51:$G$57,2,FALSE)=WEEKDAY(DATE(Year,MONTH($B$10),1)),1,0)),IF(C15&gt;=1,C15+1,IF(VLOOKUP(D$11,Conversion!$F$51:$G$57,2,FALSE)=WEEKDAY(DATE(Year,MONTH($B$10),1)),1,0)),0)&lt;D13,0,IF(DAY(EOMONTH(DATE(Year,MONTH($B$10),1),0))&gt;IF(C15&gt;=1,C15,IF(VLOOKUP(D$11,Conversion!$F$51:$G$57,2,FALSE)=WEEKDAY(DATE(Year,MONTH($B$10),1)),1,0)),IF(C15&gt;=1,C15+1,IF(VLOOKUP(D$11,Conversion!$F$51:$G$57,2,FALSE)=WEEKDAY(DATE(Year,MONTH($B$10),1)),1,0)),0))</f>
        <v>21</v>
      </c>
      <c r="E15" s="155">
        <f>IF(IF(DAY(EOMONTH(DATE(Year,MONTH($B$10),1),0))&gt;IF(D15&gt;=1,D15,IF(VLOOKUP(E$11,Conversion!$F$51:$G$57,2,FALSE)=WEEKDAY(DATE(Year,MONTH($B$10),1)),1,0)),IF(D15&gt;=1,D15+1,IF(VLOOKUP(E$11,Conversion!$F$51:$G$57,2,FALSE)=WEEKDAY(DATE(Year,MONTH($B$10),1)),1,0)),0)&lt;E13,0,IF(DAY(EOMONTH(DATE(Year,MONTH($B$10),1),0))&gt;IF(D15&gt;=1,D15,IF(VLOOKUP(E$11,Conversion!$F$51:$G$57,2,FALSE)=WEEKDAY(DATE(Year,MONTH($B$10),1)),1,0)),IF(D15&gt;=1,D15+1,IF(VLOOKUP(E$11,Conversion!$F$51:$G$57,2,FALSE)=WEEKDAY(DATE(Year,MONTH($B$10),1)),1,0)),0))</f>
        <v>22</v>
      </c>
      <c r="F15" s="155">
        <f>IF(IF(DAY(EOMONTH(DATE(Year,MONTH($B$10),1),0))&gt;IF(E15&gt;=1,E15,IF(VLOOKUP(F$11,Conversion!$F$51:$G$57,2,FALSE)=WEEKDAY(DATE(Year,MONTH($B$10),1)),1,0)),IF(E15&gt;=1,E15+1,IF(VLOOKUP(F$11,Conversion!$F$51:$G$57,2,FALSE)=WEEKDAY(DATE(Year,MONTH($B$10),1)),1,0)),0)&lt;F13,0,IF(DAY(EOMONTH(DATE(Year,MONTH($B$10),1),0))&gt;IF(E15&gt;=1,E15,IF(VLOOKUP(F$11,Conversion!$F$51:$G$57,2,FALSE)=WEEKDAY(DATE(Year,MONTH($B$10),1)),1,0)),IF(E15&gt;=1,E15+1,IF(VLOOKUP(F$11,Conversion!$F$51:$G$57,2,FALSE)=WEEKDAY(DATE(Year,MONTH($B$10),1)),1,0)),0))</f>
        <v>23</v>
      </c>
      <c r="G15" s="155">
        <f>IF(IF(DAY(EOMONTH(DATE(Year,MONTH($B$10),1),0))&gt;IF(F15&gt;=1,F15,IF(VLOOKUP(G$11,Conversion!$F$51:$G$57,2,FALSE)=WEEKDAY(DATE(Year,MONTH($B$10),1)),1,0)),IF(F15&gt;=1,F15+1,IF(VLOOKUP(G$11,Conversion!$F$51:$G$57,2,FALSE)=WEEKDAY(DATE(Year,MONTH($B$10),1)),1,0)),0)&lt;G13,0,IF(DAY(EOMONTH(DATE(Year,MONTH($B$10),1),0))&gt;IF(F15&gt;=1,F15,IF(VLOOKUP(G$11,Conversion!$F$51:$G$57,2,FALSE)=WEEKDAY(DATE(Year,MONTH($B$10),1)),1,0)),IF(F15&gt;=1,F15+1,IF(VLOOKUP(G$11,Conversion!$F$51:$G$57,2,FALSE)=WEEKDAY(DATE(Year,MONTH($B$10),1)),1,0)),0))</f>
        <v>24</v>
      </c>
      <c r="H15" s="156">
        <f>IF(IF(DAY(EOMONTH(DATE(Year,MONTH($B$10),1),0))&gt;IF(G15&gt;=1,G15,IF(VLOOKUP(H$11,Conversion!$F$51:$G$57,2,FALSE)=WEEKDAY(DATE(Year,MONTH($B$10),1)),1,0)),IF(G15&gt;=1,G15+1,IF(VLOOKUP(H$11,Conversion!$F$51:$G$57,2,FALSE)=WEEKDAY(DATE(Year,MONTH($B$10),1)),1,0)),0)&lt;H13,0,IF(DAY(EOMONTH(DATE(Year,MONTH($B$10),1),0))&gt;IF(G15&gt;=1,G15,IF(VLOOKUP(H$11,Conversion!$F$51:$G$57,2,FALSE)=WEEKDAY(DATE(Year,MONTH($B$10),1)),1,0)),IF(G15&gt;=1,G15+1,IF(VLOOKUP(H$11,Conversion!$F$51:$G$57,2,FALSE)=WEEKDAY(DATE(Year,MONTH($B$10),1)),1,0)),0))</f>
        <v>25</v>
      </c>
      <c r="I15" s="150"/>
      <c r="J15" s="154">
        <f>IF(IF(DAY(EOMONTH(DATE(YEAR($J$10),MONTH($J$10),1),0))&gt;IF(P14&gt;=1,P14,IF(VLOOKUP(J$11,Conversion!$F$51:$G$57,2,FALSE)=WEEKDAY(DATE(YEAR($J$10),MONTH($J$10),1)),1,0)),IF(P14&gt;=1,P14+1,IF(VLOOKUP(J$11,Conversion!$F$51:$G$57,2,FALSE)=WEEKDAY(DATE(Year,MONTH($J$10),1)),1,0)),0)&lt;J13,0,IF(DAY(EOMONTH(DATE(YEAR($J$10),MONTH($J$10),1),0))&gt;IF(P14&gt;=1,P14,IF(VLOOKUP(J$11,Conversion!$F$51:$G$57,2,FALSE)=WEEKDAY(DATE(YEAR($J$10),MONTH($J$10),1)),1,0)),IF(P14&gt;=1,P14+1,IF(VLOOKUP(J$11,Conversion!$F$51:$G$57,2,FALSE)=WEEKDAY(DATE(YEAR($J$10),MONTH($J$10),1)),1,0)),0))</f>
        <v>16</v>
      </c>
      <c r="K15" s="155">
        <f>IF(IF(DAY(EOMONTH(DATE(Year,MONTH($J$10),1),0))&gt;IF(J15&gt;=1,J15,IF(VLOOKUP(K$11,Conversion!$F$51:$G$57,2,FALSE)=WEEKDAY(DATE(Year,MONTH($J$10),1)),1,0)),IF(J15&gt;=1,J15+1,IF(VLOOKUP(K$11,Conversion!$F$51:$G$57,2,FALSE)=WEEKDAY(DATE(Year,MONTH($J$10),1)),1,0)),0)&lt;K13,0,IF(DAY(EOMONTH(DATE(Year,MONTH($J$10),1),0))&gt;IF(J15&gt;=1,J15,IF(VLOOKUP(K$11,Conversion!$F$51:$G$57,2,FALSE)=WEEKDAY(DATE(Year,MONTH($J$10),1)),1,0)),IF(J15&gt;=1,J15+1,IF(VLOOKUP(K$11,Conversion!$F$51:$G$57,2,FALSE)=WEEKDAY(DATE(Year,MONTH($J$10),1)),1,0)),0))</f>
        <v>17</v>
      </c>
      <c r="L15" s="155">
        <f>IF(IF(DAY(EOMONTH(DATE(Year,MONTH($J$10),1),0))&gt;IF(K15&gt;=1,K15,IF(VLOOKUP(L$11,Conversion!$F$51:$G$57,2,FALSE)=WEEKDAY(DATE(Year,MONTH($J$10),1)),1,0)),IF(K15&gt;=1,K15+1,IF(VLOOKUP(L$11,Conversion!$F$51:$G$57,2,FALSE)=WEEKDAY(DATE(Year,MONTH($J$10),1)),1,0)),0)&lt;L13,0,IF(DAY(EOMONTH(DATE(Year,MONTH($J$10),1),0))&gt;IF(K15&gt;=1,K15,IF(VLOOKUP(L$11,Conversion!$F$51:$G$57,2,FALSE)=WEEKDAY(DATE(Year,MONTH($J$10),1)),1,0)),IF(K15&gt;=1,K15+1,IF(VLOOKUP(L$11,Conversion!$F$51:$G$57,2,FALSE)=WEEKDAY(DATE(Year,MONTH($J$10),1)),1,0)),0))</f>
        <v>18</v>
      </c>
      <c r="M15" s="155">
        <f>IF(IF(DAY(EOMONTH(DATE(Year,MONTH($J$10),1),0))&gt;IF(L15&gt;=1,L15,IF(VLOOKUP(M$11,Conversion!$F$51:$G$57,2,FALSE)=WEEKDAY(DATE(Year,MONTH($J$10),1)),1,0)),IF(L15&gt;=1,L15+1,IF(VLOOKUP(M$11,Conversion!$F$51:$G$57,2,FALSE)=WEEKDAY(DATE(Year,MONTH($J$10),1)),1,0)),0)&lt;M13,0,IF(DAY(EOMONTH(DATE(Year,MONTH($J$10),1),0))&gt;IF(L15&gt;=1,L15,IF(VLOOKUP(M$11,Conversion!$F$51:$G$57,2,FALSE)=WEEKDAY(DATE(Year,MONTH($J$10),1)),1,0)),IF(L15&gt;=1,L15+1,IF(VLOOKUP(M$11,Conversion!$F$51:$G$57,2,FALSE)=WEEKDAY(DATE(Year,MONTH($J$10),1)),1,0)),0))</f>
        <v>19</v>
      </c>
      <c r="N15" s="155">
        <f>IF(IF(DAY(EOMONTH(DATE(Year,MONTH($J$10),1),0))&gt;IF(M15&gt;=1,M15,IF(VLOOKUP(N$11,Conversion!$F$51:$G$57,2,FALSE)=WEEKDAY(DATE(Year,MONTH($J$10),1)),1,0)),IF(M15&gt;=1,M15+1,IF(VLOOKUP(N$11,Conversion!$F$51:$G$57,2,FALSE)=WEEKDAY(DATE(Year,MONTH($J$10),1)),1,0)),0)&lt;N13,0,IF(DAY(EOMONTH(DATE(Year,MONTH($J$10),1),0))&gt;IF(M15&gt;=1,M15,IF(VLOOKUP(N$11,Conversion!$F$51:$G$57,2,FALSE)=WEEKDAY(DATE(Year,MONTH($J$10),1)),1,0)),IF(M15&gt;=1,M15+1,IF(VLOOKUP(N$11,Conversion!$F$51:$G$57,2,FALSE)=WEEKDAY(DATE(Year,MONTH($J$10),1)),1,0)),0))</f>
        <v>20</v>
      </c>
      <c r="O15" s="155">
        <f>IF(IF(DAY(EOMONTH(DATE(Year,MONTH($J$10),1),0))&gt;IF(N15&gt;=1,N15,IF(VLOOKUP(O$11,Conversion!$F$51:$G$57,2,FALSE)=WEEKDAY(DATE(Year,MONTH($J$10),1)),1,0)),IF(N15&gt;=1,N15+1,IF(VLOOKUP(O$11,Conversion!$F$51:$G$57,2,FALSE)=WEEKDAY(DATE(Year,MONTH($J$10),1)),1,0)),0)&lt;O13,0,IF(DAY(EOMONTH(DATE(Year,MONTH($J$10),1),0))&gt;IF(N15&gt;=1,N15,IF(VLOOKUP(O$11,Conversion!$F$51:$G$57,2,FALSE)=WEEKDAY(DATE(Year,MONTH($J$10),1)),1,0)),IF(N15&gt;=1,N15+1,IF(VLOOKUP(O$11,Conversion!$F$51:$G$57,2,FALSE)=WEEKDAY(DATE(Year,MONTH($J$10),1)),1,0)),0))</f>
        <v>21</v>
      </c>
      <c r="P15" s="156">
        <f>IF(IF(DAY(EOMONTH(DATE(Year,MONTH($J$10),1),0))&gt;IF(O15&gt;=1,O15,IF(VLOOKUP(P$11,Conversion!$F$51:$G$57,2,FALSE)=WEEKDAY(DATE(Year,MONTH($J$10),1)),1,0)),IF(O15&gt;=1,O15+1,IF(VLOOKUP(P$11,Conversion!$F$51:$G$57,2,FALSE)=WEEKDAY(DATE(Year,MONTH($J$10),1)),1,0)),0)&lt;P13,0,IF(DAY(EOMONTH(DATE(Year,MONTH($J$10),1),0))&gt;IF(O15&gt;=1,O15,IF(VLOOKUP(P$11,Conversion!$F$51:$G$57,2,FALSE)=WEEKDAY(DATE(Year,MONTH($J$10),1)),1,0)),IF(O15&gt;=1,O15+1,IF(VLOOKUP(P$11,Conversion!$F$51:$G$57,2,FALSE)=WEEKDAY(DATE(Year,MONTH($J$10),1)),1,0)),0))</f>
        <v>22</v>
      </c>
      <c r="Q15" s="7"/>
      <c r="S15" s="161" t="s">
        <v>78</v>
      </c>
      <c r="T15" s="183">
        <f>AL8</f>
        <v>45449</v>
      </c>
      <c r="U15" s="183" t="str">
        <f>AL10</f>
        <v>Thursday</v>
      </c>
      <c r="V15" s="184">
        <f>AL9</f>
        <v>0.52695601851851848</v>
      </c>
      <c r="Z15" s="198" t="s">
        <v>141</v>
      </c>
      <c r="AA15" s="199"/>
    </row>
    <row r="16" spans="2:38" ht="16" customHeight="1" x14ac:dyDescent="0.2">
      <c r="B16" s="154">
        <f>IF(IF(DAY(EOMONTH(DATE(YEAR($B$10),MONTH($B$10),1),0))&gt;IF(H15&gt;=1,H15,IF(VLOOKUP(B$11,Conversion!$F$51:$G$57,2,FALSE)=WEEKDAY(DATE(YEAR($B$10),MONTH($B$10),1)),1,0)),IF(H15&gt;=1,H15+1,IF(VLOOKUP(B$11,Conversion!$F$51:$G$57,2,FALSE)=WEEKDAY(DATE(Year,MONTH($B$10),1)),1,0)),0)&lt;B14,0,IF(DAY(EOMONTH(DATE(YEAR($B$10),MONTH($B$10),1),0))&gt;IF(H15&gt;=1,H15,IF(VLOOKUP(B$11,Conversion!$F$51:$G$57,2,FALSE)=WEEKDAY(DATE(YEAR($B$10),MONTH($B$10),1)),1,0)),IF(H15&gt;=1,H15+1,IF(VLOOKUP(B$11,Conversion!$F$51:$G$57,2,FALSE)=WEEKDAY(DATE(YEAR($B$10),MONTH($B$10),1)),1,0)),0))</f>
        <v>26</v>
      </c>
      <c r="C16" s="155">
        <f>IF(IF(DAY(EOMONTH(DATE(Year,MONTH($B$10),1),0))&gt;IF(B16&gt;=1,B16,IF(VLOOKUP(C$11,Conversion!$F$51:$G$57,2,FALSE)=WEEKDAY(DATE(Year,MONTH($B$10),1)),1,0)),IF(B16&gt;=1,B16+1,IF(VLOOKUP(C$11,Conversion!$F$51:$G$57,2,FALSE)=WEEKDAY(DATE(Year,MONTH($B$10),1)),1,0)),0)&lt;C14,0,IF(DAY(EOMONTH(DATE(Year,MONTH($B$10),1),0))&gt;IF(B16&gt;=1,B16,IF(VLOOKUP(C$11,Conversion!$F$51:$G$57,2,FALSE)=WEEKDAY(DATE(Year,MONTH($B$10),1)),1,0)),IF(B16&gt;=1,B16+1,IF(VLOOKUP(C$11,Conversion!$F$51:$G$57,2,FALSE)=WEEKDAY(DATE(Year,MONTH($B$10),1)),1,0)),0))</f>
        <v>27</v>
      </c>
      <c r="D16" s="155">
        <f>IF(IF(DAY(EOMONTH(DATE(Year,MONTH($B$10),1),0))&gt;IF(C16&gt;=1,C16,IF(VLOOKUP(D$11,Conversion!$F$51:$G$57,2,FALSE)=WEEKDAY(DATE(Year,MONTH($B$10),1)),1,0)),IF(C16&gt;=1,C16+1,IF(VLOOKUP(D$11,Conversion!$F$51:$G$57,2,FALSE)=WEEKDAY(DATE(Year,MONTH($B$10),1)),1,0)),0)&lt;D14,0,IF(DAY(EOMONTH(DATE(Year,MONTH($B$10),1),0))&gt;IF(C16&gt;=1,C16,IF(VLOOKUP(D$11,Conversion!$F$51:$G$57,2,FALSE)=WEEKDAY(DATE(Year,MONTH($B$10),1)),1,0)),IF(C16&gt;=1,C16+1,IF(VLOOKUP(D$11,Conversion!$F$51:$G$57,2,FALSE)=WEEKDAY(DATE(Year,MONTH($B$10),1)),1,0)),0))</f>
        <v>28</v>
      </c>
      <c r="E16" s="155">
        <f>IF(IF(DAY(EOMONTH(DATE(Year,MONTH($B$10),1),0))&gt;IF(D16&gt;=1,D16,IF(VLOOKUP(E$11,Conversion!$F$51:$G$57,2,FALSE)=WEEKDAY(DATE(Year,MONTH($B$10),1)),1,0)),IF(D16&gt;=1,D16+1,IF(VLOOKUP(E$11,Conversion!$F$51:$G$57,2,FALSE)=WEEKDAY(DATE(Year,MONTH($B$10),1)),1,0)),0)&lt;E14,0,IF(DAY(EOMONTH(DATE(Year,MONTH($B$10),1),0))&gt;IF(D16&gt;=1,D16,IF(VLOOKUP(E$11,Conversion!$F$51:$G$57,2,FALSE)=WEEKDAY(DATE(Year,MONTH($B$10),1)),1,0)),IF(D16&gt;=1,D16+1,IF(VLOOKUP(E$11,Conversion!$F$51:$G$57,2,FALSE)=WEEKDAY(DATE(Year,MONTH($B$10),1)),1,0)),0))</f>
        <v>29</v>
      </c>
      <c r="F16" s="155">
        <f>IF(IF(DAY(EOMONTH(DATE(Year,MONTH($B$10),1),0))&gt;IF(E16&gt;=1,E16,IF(VLOOKUP(F$11,Conversion!$F$51:$G$57,2,FALSE)=WEEKDAY(DATE(Year,MONTH($B$10),1)),1,0)),IF(E16&gt;=1,E16+1,IF(VLOOKUP(F$11,Conversion!$F$51:$G$57,2,FALSE)=WEEKDAY(DATE(Year,MONTH($B$10),1)),1,0)),0)&lt;F14,0,IF(DAY(EOMONTH(DATE(Year,MONTH($B$10),1),0))&gt;IF(E16&gt;=1,E16,IF(VLOOKUP(F$11,Conversion!$F$51:$G$57,2,FALSE)=WEEKDAY(DATE(Year,MONTH($B$10),1)),1,0)),IF(E16&gt;=1,E16+1,IF(VLOOKUP(F$11,Conversion!$F$51:$G$57,2,FALSE)=WEEKDAY(DATE(Year,MONTH($B$10),1)),1,0)),0))</f>
        <v>30</v>
      </c>
      <c r="G16" s="155">
        <f>IF(IF(DAY(EOMONTH(DATE(Year,MONTH($B$10),1),0))&gt;IF(F16&gt;=1,F16,IF(VLOOKUP(G$11,Conversion!$F$51:$G$57,2,FALSE)=WEEKDAY(DATE(Year,MONTH($B$10),1)),1,0)),IF(F16&gt;=1,F16+1,IF(VLOOKUP(G$11,Conversion!$F$51:$G$57,2,FALSE)=WEEKDAY(DATE(Year,MONTH($B$10),1)),1,0)),0)&lt;G14,0,IF(DAY(EOMONTH(DATE(Year,MONTH($B$10),1),0))&gt;IF(F16&gt;=1,F16,IF(VLOOKUP(G$11,Conversion!$F$51:$G$57,2,FALSE)=WEEKDAY(DATE(Year,MONTH($B$10),1)),1,0)),IF(F16&gt;=1,F16+1,IF(VLOOKUP(G$11,Conversion!$F$51:$G$57,2,FALSE)=WEEKDAY(DATE(Year,MONTH($B$10),1)),1,0)),0))</f>
        <v>31</v>
      </c>
      <c r="H16" s="156">
        <f>IF(IF(DAY(EOMONTH(DATE(Year,MONTH($B$10),1),0))&gt;IF(G16&gt;=1,G16,IF(VLOOKUP(H$11,Conversion!$F$51:$G$57,2,FALSE)=WEEKDAY(DATE(Year,MONTH($B$10),1)),1,0)),IF(G16&gt;=1,G16+1,IF(VLOOKUP(H$11,Conversion!$F$51:$G$57,2,FALSE)=WEEKDAY(DATE(Year,MONTH($B$10),1)),1,0)),0)&lt;H14,0,IF(DAY(EOMONTH(DATE(Year,MONTH($B$10),1),0))&gt;IF(G16&gt;=1,G16,IF(VLOOKUP(H$11,Conversion!$F$51:$G$57,2,FALSE)=WEEKDAY(DATE(Year,MONTH($B$10),1)),1,0)),IF(G16&gt;=1,G16+1,IF(VLOOKUP(H$11,Conversion!$F$51:$G$57,2,FALSE)=WEEKDAY(DATE(Year,MONTH($B$10),1)),1,0)),0))</f>
        <v>0</v>
      </c>
      <c r="I16" s="150"/>
      <c r="J16" s="154">
        <f>IF(IF(DAY(EOMONTH(DATE(YEAR($J$10),MONTH($J$10),1),0))&gt;IF(P15&gt;=1,P15,IF(VLOOKUP(J$11,Conversion!$F$51:$G$57,2,FALSE)=WEEKDAY(DATE(YEAR($J$10),MONTH($J$10),1)),1,0)),IF(P15&gt;=1,P15+1,IF(VLOOKUP(J$11,Conversion!$F$51:$G$57,2,FALSE)=WEEKDAY(DATE(Year,MONTH($J$10),1)),1,0)),0)&lt;J14,0,IF(DAY(EOMONTH(DATE(YEAR($J$10),MONTH($J$10),1),0))&gt;IF(P15&gt;=1,P15,IF(VLOOKUP(J$11,Conversion!$F$51:$G$57,2,FALSE)=WEEKDAY(DATE(YEAR($J$10),MONTH($J$10),1)),1,0)),IF(P15&gt;=1,P15+1,IF(VLOOKUP(J$11,Conversion!$F$51:$G$57,2,FALSE)=WEEKDAY(DATE(YEAR($J$10),MONTH($J$10),1)),1,0)),0))</f>
        <v>23</v>
      </c>
      <c r="K16" s="155">
        <f>IF(IF(DAY(EOMONTH(DATE(Year,MONTH($J$10),1),0))&gt;IF(J16&gt;=1,J16,IF(VLOOKUP(K$11,Conversion!$F$51:$G$57,2,FALSE)=WEEKDAY(DATE(Year,MONTH($J$10),1)),1,0)),IF(J16&gt;=1,J16+1,IF(VLOOKUP(K$11,Conversion!$F$51:$G$57,2,FALSE)=WEEKDAY(DATE(Year,MONTH($J$10),1)),1,0)),0)&lt;K14,0,IF(DAY(EOMONTH(DATE(Year,MONTH($J$10),1),0))&gt;IF(J16&gt;=1,J16,IF(VLOOKUP(K$11,Conversion!$F$51:$G$57,2,FALSE)=WEEKDAY(DATE(Year,MONTH($J$10),1)),1,0)),IF(J16&gt;=1,J16+1,IF(VLOOKUP(K$11,Conversion!$F$51:$G$57,2,FALSE)=WEEKDAY(DATE(Year,MONTH($J$10),1)),1,0)),0))</f>
        <v>24</v>
      </c>
      <c r="L16" s="155">
        <f>IF(IF(DAY(EOMONTH(DATE(Year,MONTH($J$10),1),0))&gt;IF(K16&gt;=1,K16,IF(VLOOKUP(L$11,Conversion!$F$51:$G$57,2,FALSE)=WEEKDAY(DATE(Year,MONTH($J$10),1)),1,0)),IF(K16&gt;=1,K16+1,IF(VLOOKUP(L$11,Conversion!$F$51:$G$57,2,FALSE)=WEEKDAY(DATE(Year,MONTH($J$10),1)),1,0)),0)&lt;L14,0,IF(DAY(EOMONTH(DATE(Year,MONTH($J$10),1),0))&gt;IF(K16&gt;=1,K16,IF(VLOOKUP(L$11,Conversion!$F$51:$G$57,2,FALSE)=WEEKDAY(DATE(Year,MONTH($J$10),1)),1,0)),IF(K16&gt;=1,K16+1,IF(VLOOKUP(L$11,Conversion!$F$51:$G$57,2,FALSE)=WEEKDAY(DATE(Year,MONTH($J$10),1)),1,0)),0))</f>
        <v>25</v>
      </c>
      <c r="M16" s="155">
        <f>IF(IF(DAY(EOMONTH(DATE(Year,MONTH($J$10),1),0))&gt;IF(L16&gt;=1,L16,IF(VLOOKUP(M$11,Conversion!$F$51:$G$57,2,FALSE)=WEEKDAY(DATE(Year,MONTH($J$10),1)),1,0)),IF(L16&gt;=1,L16+1,IF(VLOOKUP(M$11,Conversion!$F$51:$G$57,2,FALSE)=WEEKDAY(DATE(Year,MONTH($J$10),1)),1,0)),0)&lt;M14,0,IF(DAY(EOMONTH(DATE(Year,MONTH($J$10),1),0))&gt;IF(L16&gt;=1,L16,IF(VLOOKUP(M$11,Conversion!$F$51:$G$57,2,FALSE)=WEEKDAY(DATE(Year,MONTH($J$10),1)),1,0)),IF(L16&gt;=1,L16+1,IF(VLOOKUP(M$11,Conversion!$F$51:$G$57,2,FALSE)=WEEKDAY(DATE(Year,MONTH($J$10),1)),1,0)),0))</f>
        <v>26</v>
      </c>
      <c r="N16" s="155">
        <f>IF(IF(DAY(EOMONTH(DATE(Year,MONTH($J$10),1),0))&gt;IF(M16&gt;=1,M16,IF(VLOOKUP(N$11,Conversion!$F$51:$G$57,2,FALSE)=WEEKDAY(DATE(Year,MONTH($J$10),1)),1,0)),IF(M16&gt;=1,M16+1,IF(VLOOKUP(N$11,Conversion!$F$51:$G$57,2,FALSE)=WEEKDAY(DATE(Year,MONTH($J$10),1)),1,0)),0)&lt;N14,0,IF(DAY(EOMONTH(DATE(Year,MONTH($J$10),1),0))&gt;IF(M16&gt;=1,M16,IF(VLOOKUP(N$11,Conversion!$F$51:$G$57,2,FALSE)=WEEKDAY(DATE(Year,MONTH($J$10),1)),1,0)),IF(M16&gt;=1,M16+1,IF(VLOOKUP(N$11,Conversion!$F$51:$G$57,2,FALSE)=WEEKDAY(DATE(Year,MONTH($J$10),1)),1,0)),0))</f>
        <v>27</v>
      </c>
      <c r="O16" s="155">
        <f>IF(IF(DAY(EOMONTH(DATE(Year,MONTH($J$10),1),0))&gt;IF(N16&gt;=1,N16,IF(VLOOKUP(O$11,Conversion!$F$51:$G$57,2,FALSE)=WEEKDAY(DATE(Year,MONTH($J$10),1)),1,0)),IF(N16&gt;=1,N16+1,IF(VLOOKUP(O$11,Conversion!$F$51:$G$57,2,FALSE)=WEEKDAY(DATE(Year,MONTH($J$10),1)),1,0)),0)&lt;O14,0,IF(DAY(EOMONTH(DATE(Year,MONTH($J$10),1),0))&gt;IF(N16&gt;=1,N16,IF(VLOOKUP(O$11,Conversion!$F$51:$G$57,2,FALSE)=WEEKDAY(DATE(Year,MONTH($J$10),1)),1,0)),IF(N16&gt;=1,N16+1,IF(VLOOKUP(O$11,Conversion!$F$51:$G$57,2,FALSE)=WEEKDAY(DATE(Year,MONTH($J$10),1)),1,0)),0))</f>
        <v>28</v>
      </c>
      <c r="P16" s="156">
        <f>IF(IF(DAY(EOMONTH(DATE(Year,MONTH($J$10),1),0))&gt;IF(O16&gt;=1,O16,IF(VLOOKUP(P$11,Conversion!$F$51:$G$57,2,FALSE)=WEEKDAY(DATE(Year,MONTH($J$10),1)),1,0)),IF(O16&gt;=1,O16+1,IF(VLOOKUP(P$11,Conversion!$F$51:$G$57,2,FALSE)=WEEKDAY(DATE(Year,MONTH($J$10),1)),1,0)),0)&lt;P14,0,IF(DAY(EOMONTH(DATE(Year,MONTH($J$10),1),0))&gt;IF(O16&gt;=1,O16,IF(VLOOKUP(P$11,Conversion!$F$51:$G$57,2,FALSE)=WEEKDAY(DATE(Year,MONTH($J$10),1)),1,0)),IF(O16&gt;=1,O16+1,IF(VLOOKUP(P$11,Conversion!$F$51:$G$57,2,FALSE)=WEEKDAY(DATE(Year,MONTH($J$10),1)),1,0)),0))</f>
        <v>29</v>
      </c>
      <c r="Q16" s="7"/>
      <c r="S16" s="149"/>
      <c r="T16" s="164"/>
      <c r="U16" s="164"/>
      <c r="V16" s="185">
        <f>AL11-AD11</f>
        <v>29.385941051878035</v>
      </c>
      <c r="Z16" s="14" t="s">
        <v>48</v>
      </c>
      <c r="AA16" s="17">
        <f>E3</f>
        <v>45418</v>
      </c>
    </row>
    <row r="17" spans="2:27" ht="16" customHeight="1" x14ac:dyDescent="0.2">
      <c r="B17" s="157">
        <f>IF(IF(DAY(EOMONTH(DATE(YEAR($B$10),MONTH($B$10),1),0))&gt;IF(H16&gt;=1,H16,IF(VLOOKUP(B$11,Conversion!$F$51:$G$57,2,FALSE)=WEEKDAY(DATE(YEAR($B$10),MONTH($B$10),1)),1,0)),IF(H16&gt;=1,H16+1,IF(VLOOKUP(B$11,Conversion!$F$51:$G$57,2,FALSE)=WEEKDAY(DATE(Year,MONTH($B$10),1)),1,0)),0)&lt;B15,0,IF(DAY(EOMONTH(DATE(YEAR($B$10),MONTH($B$10),1),0))&gt;IF(H16&gt;=1,H16,IF(VLOOKUP(B$11,Conversion!$F$51:$G$57,2,FALSE)=WEEKDAY(DATE(YEAR($B$10),MONTH($B$10),1)),1,0)),IF(H16&gt;=1,H16+1,IF(VLOOKUP(B$11,Conversion!$F$51:$G$57,2,FALSE)=WEEKDAY(DATE(YEAR($B$10),MONTH($B$10),1)),1,0)),0))</f>
        <v>0</v>
      </c>
      <c r="C17" s="158">
        <f>IF(IF(DAY(EOMONTH(DATE(Year,MONTH($B$10),1),0))&gt;IF(B17&gt;=1,B17,IF(VLOOKUP(C$11,Conversion!$F$51:$G$57,2,FALSE)=WEEKDAY(DATE(Year,MONTH($B$10),1)),1,0)),IF(B17&gt;=1,B17+1,IF(VLOOKUP(C$11,Conversion!$F$51:$G$57,2,FALSE)=WEEKDAY(DATE(Year,MONTH($B$10),1)),1,0)),0)&lt;C15,0,IF(DAY(EOMONTH(DATE(Year,MONTH($B$10),1),0))&gt;IF(B17&gt;=1,B17,IF(VLOOKUP(C$11,Conversion!$F$51:$G$57,2,FALSE)=WEEKDAY(DATE(Year,MONTH($B$10),1)),1,0)),IF(B17&gt;=1,B17+1,IF(VLOOKUP(C$11,Conversion!$F$51:$G$57,2,FALSE)=WEEKDAY(DATE(Year,MONTH($B$10),1)),1,0)),0))</f>
        <v>0</v>
      </c>
      <c r="D17" s="158">
        <f>IF(IF(DAY(EOMONTH(DATE(Year,MONTH($B$10),1),0))&gt;IF(C17&gt;=1,C17,IF(VLOOKUP(D$11,Conversion!$F$51:$G$57,2,FALSE)=WEEKDAY(DATE(Year,MONTH($B$10),1)),1,0)),IF(C17&gt;=1,C17+1,IF(VLOOKUP(D$11,Conversion!$F$51:$G$57,2,FALSE)=WEEKDAY(DATE(Year,MONTH($B$10),1)),1,0)),0)&lt;D15,0,IF(DAY(EOMONTH(DATE(Year,MONTH($B$10),1),0))&gt;IF(C17&gt;=1,C17,IF(VLOOKUP(D$11,Conversion!$F$51:$G$57,2,FALSE)=WEEKDAY(DATE(Year,MONTH($B$10),1)),1,0)),IF(C17&gt;=1,C17+1,IF(VLOOKUP(D$11,Conversion!$F$51:$G$57,2,FALSE)=WEEKDAY(DATE(Year,MONTH($B$10),1)),1,0)),0))</f>
        <v>0</v>
      </c>
      <c r="E17" s="158">
        <f>IF(IF(DAY(EOMONTH(DATE(Year,MONTH($B$10),1),0))&gt;IF(D17&gt;=1,D17,IF(VLOOKUP(E$11,Conversion!$F$51:$G$57,2,FALSE)=WEEKDAY(DATE(Year,MONTH($B$10),1)),1,0)),IF(D17&gt;=1,D17+1,IF(VLOOKUP(E$11,Conversion!$F$51:$G$57,2,FALSE)=WEEKDAY(DATE(Year,MONTH($B$10),1)),1,0)),0)&lt;E15,0,IF(DAY(EOMONTH(DATE(Year,MONTH($B$10),1),0))&gt;IF(D17&gt;=1,D17,IF(VLOOKUP(E$11,Conversion!$F$51:$G$57,2,FALSE)=WEEKDAY(DATE(Year,MONTH($B$10),1)),1,0)),IF(D17&gt;=1,D17+1,IF(VLOOKUP(E$11,Conversion!$F$51:$G$57,2,FALSE)=WEEKDAY(DATE(Year,MONTH($B$10),1)),1,0)),0))</f>
        <v>0</v>
      </c>
      <c r="F17" s="158">
        <f>IF(IF(DAY(EOMONTH(DATE(Year,MONTH($B$10),1),0))&gt;IF(E17&gt;=1,E17,IF(VLOOKUP(F$11,Conversion!$F$51:$G$57,2,FALSE)=WEEKDAY(DATE(Year,MONTH($B$10),1)),1,0)),IF(E17&gt;=1,E17+1,IF(VLOOKUP(F$11,Conversion!$F$51:$G$57,2,FALSE)=WEEKDAY(DATE(Year,MONTH($B$10),1)),1,0)),0)&lt;F15,0,IF(DAY(EOMONTH(DATE(Year,MONTH($B$10),1),0))&gt;IF(E17&gt;=1,E17,IF(VLOOKUP(F$11,Conversion!$F$51:$G$57,2,FALSE)=WEEKDAY(DATE(Year,MONTH($B$10),1)),1,0)),IF(E17&gt;=1,E17+1,IF(VLOOKUP(F$11,Conversion!$F$51:$G$57,2,FALSE)=WEEKDAY(DATE(Year,MONTH($B$10),1)),1,0)),0))</f>
        <v>0</v>
      </c>
      <c r="G17" s="158">
        <f>IF(IF(DAY(EOMONTH(DATE(Year,MONTH($B$10),1),0))&gt;IF(F17&gt;=1,F17,IF(VLOOKUP(G$11,Conversion!$F$51:$G$57,2,FALSE)=WEEKDAY(DATE(Year,MONTH($B$10),1)),1,0)),IF(F17&gt;=1,F17+1,IF(VLOOKUP(G$11,Conversion!$F$51:$G$57,2,FALSE)=WEEKDAY(DATE(Year,MONTH($B$10),1)),1,0)),0)&lt;G15,0,IF(DAY(EOMONTH(DATE(Year,MONTH($B$10),1),0))&gt;IF(F17&gt;=1,F17,IF(VLOOKUP(G$11,Conversion!$F$51:$G$57,2,FALSE)=WEEKDAY(DATE(Year,MONTH($B$10),1)),1,0)),IF(F17&gt;=1,F17+1,IF(VLOOKUP(G$11,Conversion!$F$51:$G$57,2,FALSE)=WEEKDAY(DATE(Year,MONTH($B$10),1)),1,0)),0))</f>
        <v>0</v>
      </c>
      <c r="H17" s="159">
        <f>IF(IF(DAY(EOMONTH(DATE(Year,MONTH($B$10),1),0))&gt;IF(G17&gt;=1,G17,IF(VLOOKUP(H$11,Conversion!$F$51:$G$57,2,FALSE)=WEEKDAY(DATE(Year,MONTH($B$10),1)),1,0)),IF(G17&gt;=1,G17+1,IF(VLOOKUP(H$11,Conversion!$F$51:$G$57,2,FALSE)=WEEKDAY(DATE(Year,MONTH($B$10),1)),1,0)),0)&lt;H15,0,IF(DAY(EOMONTH(DATE(Year,MONTH($B$10),1),0))&gt;IF(G17&gt;=1,G17,IF(VLOOKUP(H$11,Conversion!$F$51:$G$57,2,FALSE)=WEEKDAY(DATE(Year,MONTH($B$10),1)),1,0)),IF(G17&gt;=1,G17+1,IF(VLOOKUP(H$11,Conversion!$F$51:$G$57,2,FALSE)=WEEKDAY(DATE(Year,MONTH($B$10),1)),1,0)),0))</f>
        <v>0</v>
      </c>
      <c r="I17" s="150"/>
      <c r="J17" s="157">
        <f>IF(IF(DAY(EOMONTH(DATE(YEAR($J$10),MONTH($J$10),1),0))&gt;IF(P16&gt;=1,P16,IF(VLOOKUP(J$11,Conversion!$F$51:$G$57,2,FALSE)=WEEKDAY(DATE(YEAR($J$10),MONTH($J$10),1)),1,0)),IF(P16&gt;=1,P16+1,IF(VLOOKUP(J$11,Conversion!$F$51:$G$57,2,FALSE)=WEEKDAY(DATE(Year,MONTH($J$10),1)),1,0)),0)&lt;J15,0,IF(DAY(EOMONTH(DATE(YEAR($J$10),MONTH($J$10),1),0))&gt;IF(P16&gt;=1,P16,IF(VLOOKUP(J$11,Conversion!$F$51:$G$57,2,FALSE)=WEEKDAY(DATE(YEAR($J$10),MONTH($J$10),1)),1,0)),IF(P16&gt;=1,P16+1,IF(VLOOKUP(J$11,Conversion!$F$51:$G$57,2,FALSE)=WEEKDAY(DATE(YEAR($J$10),MONTH($J$10),1)),1,0)),0))</f>
        <v>30</v>
      </c>
      <c r="K17" s="158">
        <f>IF(IF(DAY(EOMONTH(DATE(Year,MONTH($J$10),1),0))&gt;IF(J17&gt;=1,J17,IF(VLOOKUP(K$11,Conversion!$F$51:$G$57,2,FALSE)=WEEKDAY(DATE(Year,MONTH($J$10),1)),1,0)),IF(J17&gt;=1,J17+1,IF(VLOOKUP(K$11,Conversion!$F$51:$G$57,2,FALSE)=WEEKDAY(DATE(Year,MONTH($J$10),1)),1,0)),0)&lt;K15,0,IF(DAY(EOMONTH(DATE(Year,MONTH($J$10),1),0))&gt;IF(J17&gt;=1,J17,IF(VLOOKUP(K$11,Conversion!$F$51:$G$57,2,FALSE)=WEEKDAY(DATE(Year,MONTH($J$10),1)),1,0)),IF(J17&gt;=1,J17+1,IF(VLOOKUP(K$11,Conversion!$F$51:$G$57,2,FALSE)=WEEKDAY(DATE(Year,MONTH($J$10),1)),1,0)),0))</f>
        <v>0</v>
      </c>
      <c r="L17" s="158">
        <f>IF(IF(DAY(EOMONTH(DATE(Year,MONTH($J$10),1),0))&gt;IF(K17&gt;=1,K17,IF(VLOOKUP(L$11,Conversion!$F$51:$G$57,2,FALSE)=WEEKDAY(DATE(Year,MONTH($J$10),1)),1,0)),IF(K17&gt;=1,K17+1,IF(VLOOKUP(L$11,Conversion!$F$51:$G$57,2,FALSE)=WEEKDAY(DATE(Year,MONTH($J$10),1)),1,0)),0)&lt;L15,0,IF(DAY(EOMONTH(DATE(Year,MONTH($J$10),1),0))&gt;IF(K17&gt;=1,K17,IF(VLOOKUP(L$11,Conversion!$F$51:$G$57,2,FALSE)=WEEKDAY(DATE(Year,MONTH($J$10),1)),1,0)),IF(K17&gt;=1,K17+1,IF(VLOOKUP(L$11,Conversion!$F$51:$G$57,2,FALSE)=WEEKDAY(DATE(Year,MONTH($J$10),1)),1,0)),0))</f>
        <v>0</v>
      </c>
      <c r="M17" s="158">
        <f>IF(IF(DAY(EOMONTH(DATE(Year,MONTH($J$10),1),0))&gt;IF(L17&gt;=1,L17,IF(VLOOKUP(M$11,Conversion!$F$51:$G$57,2,FALSE)=WEEKDAY(DATE(Year,MONTH($J$10),1)),1,0)),IF(L17&gt;=1,L17+1,IF(VLOOKUP(M$11,Conversion!$F$51:$G$57,2,FALSE)=WEEKDAY(DATE(Year,MONTH($J$10),1)),1,0)),0)&lt;M15,0,IF(DAY(EOMONTH(DATE(Year,MONTH($J$10),1),0))&gt;IF(L17&gt;=1,L17,IF(VLOOKUP(M$11,Conversion!$F$51:$G$57,2,FALSE)=WEEKDAY(DATE(Year,MONTH($J$10),1)),1,0)),IF(L17&gt;=1,L17+1,IF(VLOOKUP(M$11,Conversion!$F$51:$G$57,2,FALSE)=WEEKDAY(DATE(Year,MONTH($J$10),1)),1,0)),0))</f>
        <v>0</v>
      </c>
      <c r="N17" s="158">
        <f>IF(IF(DAY(EOMONTH(DATE(Year,MONTH($J$10),1),0))&gt;IF(M17&gt;=1,M17,IF(VLOOKUP(N$11,Conversion!$F$51:$G$57,2,FALSE)=WEEKDAY(DATE(Year,MONTH($J$10),1)),1,0)),IF(M17&gt;=1,M17+1,IF(VLOOKUP(N$11,Conversion!$F$51:$G$57,2,FALSE)=WEEKDAY(DATE(Year,MONTH($J$10),1)),1,0)),0)&lt;N15,0,IF(DAY(EOMONTH(DATE(Year,MONTH($J$10),1),0))&gt;IF(M17&gt;=1,M17,IF(VLOOKUP(N$11,Conversion!$F$51:$G$57,2,FALSE)=WEEKDAY(DATE(Year,MONTH($J$10),1)),1,0)),IF(M17&gt;=1,M17+1,IF(VLOOKUP(N$11,Conversion!$F$51:$G$57,2,FALSE)=WEEKDAY(DATE(Year,MONTH($J$10),1)),1,0)),0))</f>
        <v>0</v>
      </c>
      <c r="O17" s="158">
        <f>IF(IF(DAY(EOMONTH(DATE(Year,MONTH($J$10),1),0))&gt;IF(N17&gt;=1,N17,IF(VLOOKUP(O$11,Conversion!$F$51:$G$57,2,FALSE)=WEEKDAY(DATE(Year,MONTH($J$10),1)),1,0)),IF(N17&gt;=1,N17+1,IF(VLOOKUP(O$11,Conversion!$F$51:$G$57,2,FALSE)=WEEKDAY(DATE(Year,MONTH($J$10),1)),1,0)),0)&lt;O15,0,IF(DAY(EOMONTH(DATE(Year,MONTH($J$10),1),0))&gt;IF(N17&gt;=1,N17,IF(VLOOKUP(O$11,Conversion!$F$51:$G$57,2,FALSE)=WEEKDAY(DATE(Year,MONTH($J$10),1)),1,0)),IF(N17&gt;=1,N17+1,IF(VLOOKUP(O$11,Conversion!$F$51:$G$57,2,FALSE)=WEEKDAY(DATE(Year,MONTH($J$10),1)),1,0)),0))</f>
        <v>0</v>
      </c>
      <c r="P17" s="159">
        <f>IF(IF(DAY(EOMONTH(DATE(Year,MONTH($J$10),1),0))&gt;IF(O17&gt;=1,O17,IF(VLOOKUP(P$11,Conversion!$F$51:$G$57,2,FALSE)=WEEKDAY(DATE(Year,MONTH($J$10),1)),1,0)),IF(O17&gt;=1,O17+1,IF(VLOOKUP(P$11,Conversion!$F$51:$G$57,2,FALSE)=WEEKDAY(DATE(Year,MONTH($J$10),1)),1,0)),0)&lt;P15,0,IF(DAY(EOMONTH(DATE(Year,MONTH($J$10),1),0))&gt;IF(O17&gt;=1,O17,IF(VLOOKUP(P$11,Conversion!$F$51:$G$57,2,FALSE)=WEEKDAY(DATE(Year,MONTH($J$10),1)),1,0)),IF(O17&gt;=1,O17+1,IF(VLOOKUP(P$11,Conversion!$F$51:$G$57,2,FALSE)=WEEKDAY(DATE(Year,MONTH($J$10),1)),1,0)),0))</f>
        <v>0</v>
      </c>
      <c r="Q17" s="7"/>
      <c r="S17" s="149"/>
      <c r="T17" s="164"/>
      <c r="U17" s="164"/>
      <c r="V17" s="165" t="s">
        <v>77</v>
      </c>
      <c r="Z17" s="14" t="s">
        <v>94</v>
      </c>
      <c r="AA17" s="16">
        <v>0.5</v>
      </c>
    </row>
    <row r="18" spans="2:27" ht="16" customHeight="1" x14ac:dyDescent="0.15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T18" s="6"/>
      <c r="U18" s="6"/>
      <c r="Z18" s="14" t="s">
        <v>92</v>
      </c>
      <c r="AA18" s="13" t="str">
        <f>IF(AA22=0,"Sunday",IF(AA22=1,"Monday",IF(AA22=2,"Tuesday",IF(AA22=3,"Wednesday",IF(AA22=4,"Thursday",IF(AA22=5,"Friday","Saturday"))))))</f>
        <v>Monday</v>
      </c>
    </row>
    <row r="19" spans="2:27" ht="16" customHeight="1" x14ac:dyDescent="0.15">
      <c r="Z19" s="14" t="s">
        <v>85</v>
      </c>
      <c r="AA19" s="15">
        <f>Conversion!E21</f>
        <v>2460437</v>
      </c>
    </row>
    <row r="20" spans="2:27" ht="16" customHeight="1" x14ac:dyDescent="0.15">
      <c r="Z20" s="14" t="s">
        <v>82</v>
      </c>
      <c r="AA20" s="13" t="str">
        <f>IF(MOD(YEAR(AA16),4)=0,IF(MOD(YEAR(AA16),400)&gt;0,"Yes","No"),"No")</f>
        <v>Yes</v>
      </c>
    </row>
    <row r="21" spans="2:27" ht="16" customHeight="1" x14ac:dyDescent="0.15">
      <c r="Z21" s="12" t="s">
        <v>80</v>
      </c>
      <c r="AA21" s="11">
        <f>INT(275*MONTH(AA16)/9)-(IF(MOD(YEAR(AA16),4)=0,IF(MOD(YEAR(AA16),400)&gt;0,1,2),2))*INT((MONTH(AA16)+9)/12)+DAY(AA16)-30</f>
        <v>127</v>
      </c>
    </row>
    <row r="22" spans="2:27" ht="16" customHeight="1" x14ac:dyDescent="0.25">
      <c r="K22" s="200" t="s">
        <v>142</v>
      </c>
      <c r="L22" s="201"/>
      <c r="M22" s="201"/>
      <c r="N22" s="201"/>
      <c r="O22" s="201"/>
      <c r="P22" s="201"/>
      <c r="Q22" s="201"/>
      <c r="R22" s="201"/>
      <c r="S22" s="202"/>
      <c r="AA22" s="8">
        <f>INT(MOD((AA19+1.5),7))</f>
        <v>1</v>
      </c>
    </row>
    <row r="23" spans="2:27" ht="16" customHeight="1" x14ac:dyDescent="0.2">
      <c r="K23" s="203" t="str">
        <f>VLOOKUP(Calculations!C118,Conversion!N50:O58,2,TRUE)</f>
        <v>New moon</v>
      </c>
      <c r="L23" s="204"/>
      <c r="M23" s="204"/>
      <c r="N23" s="204"/>
      <c r="O23" s="204"/>
      <c r="P23" s="204"/>
      <c r="Q23" s="204"/>
      <c r="R23" s="103"/>
      <c r="S23" s="104" t="str">
        <f>CONCATENATE("(",TEXT(VALUE(1-ABS((180-Calculations!C118)/180)),"0.0%"),")")</f>
        <v>(11.1%)</v>
      </c>
    </row>
    <row r="24" spans="2:27" ht="16" customHeight="1" x14ac:dyDescent="0.15"/>
    <row r="25" spans="2:27" ht="16" customHeight="1" x14ac:dyDescent="0.15"/>
    <row r="26" spans="2:27" ht="16" customHeight="1" x14ac:dyDescent="0.15"/>
    <row r="27" spans="2:27" ht="16" customHeight="1" x14ac:dyDescent="0.15"/>
    <row r="28" spans="2:27" ht="16" customHeight="1" x14ac:dyDescent="0.15"/>
    <row r="29" spans="2:27" ht="16" customHeight="1" x14ac:dyDescent="0.15"/>
    <row r="30" spans="2:27" ht="16" customHeight="1" x14ac:dyDescent="0.15"/>
    <row r="31" spans="2:27" ht="16" customHeight="1" x14ac:dyDescent="0.15"/>
    <row r="32" spans="2:27" ht="16" customHeight="1" x14ac:dyDescent="0.15"/>
    <row r="33" ht="16" customHeight="1" x14ac:dyDescent="0.15"/>
    <row r="34" ht="16" customHeight="1" x14ac:dyDescent="0.15"/>
    <row r="35" ht="16" customHeight="1" x14ac:dyDescent="0.15"/>
    <row r="36" ht="16" customHeight="1" x14ac:dyDescent="0.15"/>
    <row r="37" ht="16" customHeight="1" x14ac:dyDescent="0.15"/>
    <row r="38" ht="16" customHeight="1" x14ac:dyDescent="0.15"/>
    <row r="39" ht="16" customHeight="1" x14ac:dyDescent="0.15"/>
    <row r="40" ht="16" customHeight="1" x14ac:dyDescent="0.15"/>
    <row r="41" ht="16" customHeight="1" x14ac:dyDescent="0.15"/>
    <row r="42" ht="16" customHeight="1" x14ac:dyDescent="0.15"/>
    <row r="43" ht="16" customHeight="1" x14ac:dyDescent="0.15"/>
    <row r="44" ht="16" customHeight="1" x14ac:dyDescent="0.15"/>
    <row r="45" ht="16" customHeight="1" x14ac:dyDescent="0.15"/>
    <row r="46" ht="16" customHeight="1" x14ac:dyDescent="0.15"/>
    <row r="47" ht="16" customHeight="1" x14ac:dyDescent="0.15"/>
    <row r="48" ht="16" customHeight="1" x14ac:dyDescent="0.15"/>
    <row r="49" ht="16" customHeight="1" x14ac:dyDescent="0.15"/>
    <row r="50" ht="16" customHeight="1" x14ac:dyDescent="0.15"/>
    <row r="51" ht="16" customHeight="1" x14ac:dyDescent="0.15"/>
    <row r="52" ht="16" customHeight="1" x14ac:dyDescent="0.15"/>
    <row r="53" ht="16" customHeight="1" x14ac:dyDescent="0.15"/>
    <row r="54" ht="16" customHeight="1" x14ac:dyDescent="0.15"/>
    <row r="55" ht="16" customHeight="1" x14ac:dyDescent="0.15"/>
    <row r="56" ht="16" customHeight="1" x14ac:dyDescent="0.15"/>
    <row r="57" ht="16" customHeight="1" x14ac:dyDescent="0.15"/>
    <row r="58" ht="16" customHeight="1" x14ac:dyDescent="0.15"/>
    <row r="59" ht="16" customHeight="1" x14ac:dyDescent="0.15"/>
    <row r="60" ht="16" customHeight="1" x14ac:dyDescent="0.15"/>
    <row r="61" ht="16" customHeight="1" x14ac:dyDescent="0.15"/>
    <row r="62" ht="16" customHeight="1" x14ac:dyDescent="0.15"/>
    <row r="63" ht="16" customHeight="1" x14ac:dyDescent="0.15"/>
    <row r="64" ht="16" customHeight="1" x14ac:dyDescent="0.15"/>
    <row r="65" ht="16" customHeight="1" x14ac:dyDescent="0.15"/>
    <row r="66" ht="16" customHeight="1" x14ac:dyDescent="0.15"/>
    <row r="67" ht="16" customHeight="1" x14ac:dyDescent="0.15"/>
    <row r="68" ht="16" customHeight="1" x14ac:dyDescent="0.15"/>
    <row r="69" ht="16" customHeight="1" x14ac:dyDescent="0.15"/>
    <row r="70" ht="16" customHeight="1" x14ac:dyDescent="0.15"/>
    <row r="71" ht="16" customHeight="1" x14ac:dyDescent="0.15"/>
    <row r="72" ht="16" customHeight="1" x14ac:dyDescent="0.15"/>
    <row r="73" ht="16" customHeight="1" x14ac:dyDescent="0.15"/>
    <row r="74" ht="16" customHeight="1" x14ac:dyDescent="0.15"/>
    <row r="75" ht="16" customHeight="1" x14ac:dyDescent="0.15"/>
    <row r="76" ht="16" customHeight="1" x14ac:dyDescent="0.15"/>
    <row r="77" ht="16" customHeight="1" x14ac:dyDescent="0.15"/>
    <row r="78" ht="16" customHeight="1" x14ac:dyDescent="0.15"/>
    <row r="79" ht="16" customHeight="1" x14ac:dyDescent="0.15"/>
    <row r="80" ht="16" customHeight="1" x14ac:dyDescent="0.15"/>
    <row r="81" ht="16" customHeight="1" x14ac:dyDescent="0.15"/>
    <row r="82" ht="16" customHeight="1" x14ac:dyDescent="0.15"/>
    <row r="83" ht="16" customHeight="1" x14ac:dyDescent="0.15"/>
    <row r="84" ht="16" customHeight="1" x14ac:dyDescent="0.15"/>
    <row r="85" ht="16" customHeight="1" x14ac:dyDescent="0.15"/>
    <row r="86" ht="16" customHeight="1" x14ac:dyDescent="0.15"/>
    <row r="87" ht="16" customHeight="1" x14ac:dyDescent="0.15"/>
    <row r="88" ht="16" customHeight="1" x14ac:dyDescent="0.15"/>
    <row r="89" ht="16" customHeight="1" x14ac:dyDescent="0.15"/>
    <row r="90" ht="16" customHeight="1" x14ac:dyDescent="0.15"/>
    <row r="91" ht="16" customHeight="1" x14ac:dyDescent="0.15"/>
    <row r="92" ht="16" customHeight="1" x14ac:dyDescent="0.15"/>
    <row r="93" ht="16" customHeight="1" x14ac:dyDescent="0.15"/>
    <row r="94" ht="16" customHeight="1" x14ac:dyDescent="0.15"/>
    <row r="95" ht="16" customHeight="1" x14ac:dyDescent="0.15"/>
    <row r="96" ht="16" customHeight="1" x14ac:dyDescent="0.15"/>
    <row r="97" ht="16" customHeight="1" x14ac:dyDescent="0.15"/>
    <row r="98" ht="16" customHeight="1" x14ac:dyDescent="0.15"/>
    <row r="99" ht="16" customHeight="1" x14ac:dyDescent="0.15"/>
    <row r="100" ht="16" customHeight="1" x14ac:dyDescent="0.15"/>
    <row r="101" ht="16" customHeight="1" x14ac:dyDescent="0.15"/>
    <row r="102" ht="16" customHeight="1" x14ac:dyDescent="0.15"/>
    <row r="103" ht="16" customHeight="1" x14ac:dyDescent="0.15"/>
    <row r="104" ht="16" customHeight="1" x14ac:dyDescent="0.15"/>
    <row r="105" ht="16" customHeight="1" x14ac:dyDescent="0.15"/>
    <row r="106" ht="16" customHeight="1" x14ac:dyDescent="0.15"/>
    <row r="107" ht="16" customHeight="1" x14ac:dyDescent="0.15"/>
    <row r="108" ht="16" customHeight="1" x14ac:dyDescent="0.15"/>
    <row r="109" ht="16" customHeight="1" x14ac:dyDescent="0.15"/>
    <row r="110" ht="16" customHeight="1" x14ac:dyDescent="0.15"/>
    <row r="111" ht="16" customHeight="1" x14ac:dyDescent="0.15"/>
    <row r="112" ht="16" customHeight="1" x14ac:dyDescent="0.15"/>
    <row r="113" ht="16" customHeight="1" x14ac:dyDescent="0.15"/>
    <row r="114" ht="16" customHeight="1" x14ac:dyDescent="0.15"/>
    <row r="115" ht="16" customHeight="1" x14ac:dyDescent="0.15"/>
    <row r="116" ht="16" customHeight="1" x14ac:dyDescent="0.15"/>
    <row r="117" ht="16" customHeight="1" x14ac:dyDescent="0.15"/>
    <row r="118" ht="16" customHeight="1" x14ac:dyDescent="0.15"/>
    <row r="119" ht="16" customHeight="1" x14ac:dyDescent="0.15"/>
    <row r="120" ht="16" customHeight="1" x14ac:dyDescent="0.15"/>
    <row r="121" ht="16" customHeight="1" x14ac:dyDescent="0.15"/>
    <row r="122" ht="16" customHeight="1" x14ac:dyDescent="0.15"/>
    <row r="123" ht="16" customHeight="1" x14ac:dyDescent="0.15"/>
    <row r="124" ht="16" customHeight="1" x14ac:dyDescent="0.15"/>
    <row r="125" ht="16" customHeight="1" x14ac:dyDescent="0.15"/>
    <row r="126" ht="16" customHeight="1" x14ac:dyDescent="0.15"/>
    <row r="127" ht="16" customHeight="1" x14ac:dyDescent="0.15"/>
    <row r="128" ht="16" customHeight="1" x14ac:dyDescent="0.15"/>
    <row r="129" ht="16" customHeight="1" x14ac:dyDescent="0.15"/>
    <row r="130" ht="16" customHeight="1" x14ac:dyDescent="0.15"/>
    <row r="131" ht="16" customHeight="1" x14ac:dyDescent="0.15"/>
    <row r="132" ht="16" customHeight="1" x14ac:dyDescent="0.15"/>
    <row r="133" ht="16" customHeight="1" x14ac:dyDescent="0.15"/>
    <row r="134" ht="16" customHeight="1" x14ac:dyDescent="0.15"/>
    <row r="135" ht="16" customHeight="1" x14ac:dyDescent="0.15"/>
    <row r="136" ht="16" customHeight="1" x14ac:dyDescent="0.15"/>
    <row r="137" ht="16" customHeight="1" x14ac:dyDescent="0.15"/>
    <row r="138" ht="16" customHeight="1" x14ac:dyDescent="0.15"/>
    <row r="139" ht="16" customHeight="1" x14ac:dyDescent="0.15"/>
    <row r="140" ht="16" customHeight="1" x14ac:dyDescent="0.15"/>
    <row r="141" ht="16" customHeight="1" x14ac:dyDescent="0.15"/>
    <row r="142" ht="16" customHeight="1" x14ac:dyDescent="0.15"/>
    <row r="143" ht="16" customHeight="1" x14ac:dyDescent="0.15"/>
    <row r="144" ht="16" customHeight="1" x14ac:dyDescent="0.15"/>
    <row r="145" ht="16" customHeight="1" x14ac:dyDescent="0.15"/>
    <row r="146" ht="16" customHeight="1" x14ac:dyDescent="0.15"/>
    <row r="147" ht="16" customHeight="1" x14ac:dyDescent="0.15"/>
    <row r="148" ht="16" customHeight="1" x14ac:dyDescent="0.15"/>
    <row r="149" ht="16" customHeight="1" x14ac:dyDescent="0.15"/>
    <row r="150" ht="16" customHeight="1" x14ac:dyDescent="0.15"/>
    <row r="151" ht="16" customHeight="1" x14ac:dyDescent="0.15"/>
  </sheetData>
  <sheetProtection sheet="1" objects="1" scenarios="1"/>
  <mergeCells count="20">
    <mergeCell ref="AK7:AL7"/>
    <mergeCell ref="E2:G2"/>
    <mergeCell ref="Z7:AA7"/>
    <mergeCell ref="AC7:AD7"/>
    <mergeCell ref="AE7:AF7"/>
    <mergeCell ref="AG7:AH7"/>
    <mergeCell ref="AI7:AJ7"/>
    <mergeCell ref="B3:D3"/>
    <mergeCell ref="E3:G3"/>
    <mergeCell ref="Z15:AA15"/>
    <mergeCell ref="K22:S22"/>
    <mergeCell ref="K23:Q23"/>
    <mergeCell ref="B4:D4"/>
    <mergeCell ref="E4:G4"/>
    <mergeCell ref="B10:H10"/>
    <mergeCell ref="J10:P10"/>
    <mergeCell ref="B7:V7"/>
    <mergeCell ref="B8:Q9"/>
    <mergeCell ref="B5:D5"/>
    <mergeCell ref="E5:G5"/>
  </mergeCells>
  <conditionalFormatting sqref="B12:H17">
    <cfRule type="expression" dxfId="11" priority="4" stopIfTrue="1">
      <formula>NOT(ISERROR(MATCH(DATE(YEAR($B$10),MONTH($B$10),DAY(B12)),$T$13,0)))</formula>
    </cfRule>
    <cfRule type="expression" dxfId="10" priority="5" stopIfTrue="1">
      <formula>NOT(ISERROR(MATCH(DATE(YEAR($B$10),MONTH($B$10),DAY(B12)),$T$12,0)))</formula>
    </cfRule>
    <cfRule type="expression" dxfId="9" priority="6" stopIfTrue="1">
      <formula>NOT(ISERROR(MATCH(DATE(YEAR($B$10),MONTH($B$10),DAY(B12)),$T$14,0)))</formula>
    </cfRule>
    <cfRule type="cellIs" dxfId="8" priority="7" stopIfTrue="1" operator="equal">
      <formula>0</formula>
    </cfRule>
    <cfRule type="expression" dxfId="7" priority="10" stopIfTrue="1">
      <formula>NOT(ISERROR(MATCH(DATE(YEAR($B$10),MONTH($B$10),DAY(B12)),KeyDates,0)))</formula>
    </cfRule>
  </conditionalFormatting>
  <conditionalFormatting sqref="T11:T15 T16:U18">
    <cfRule type="expression" dxfId="6" priority="11" stopIfTrue="1">
      <formula>IF(T11&gt;0,IF(AND(T11&gt;DATE($E$4,MONTH($B$10),1),T11&lt;DATE($E$4,MONTH($B$10)+12,1)),"FALSE","TRUE"))</formula>
    </cfRule>
  </conditionalFormatting>
  <conditionalFormatting sqref="J12:P17">
    <cfRule type="cellIs" dxfId="4" priority="17" stopIfTrue="1" operator="equal">
      <formula>0</formula>
    </cfRule>
    <cfRule type="expression" dxfId="3" priority="18" stopIfTrue="1">
      <formula>NOT(ISERROR(MATCH(DATE(YEAR($J$10),MONTH($J$10),DAY(J12)),$T$13,0)))</formula>
    </cfRule>
    <cfRule type="expression" dxfId="2" priority="19" stopIfTrue="1">
      <formula>NOT(ISERROR(MATCH(DATE(YEAR($J$10),MONTH($J$10),DAY(J12)),$T$102)))</formula>
    </cfRule>
    <cfRule type="expression" dxfId="1" priority="20" stopIfTrue="1">
      <formula>NOT(ISERROR(MATCH(DATE(YEAR($J$10),MONTH($J$10),DAY(J12)),$T$14,0)))</formula>
    </cfRule>
    <cfRule type="expression" dxfId="0" priority="21" stopIfTrue="1">
      <formula>NOT(ISERROR(MATCH(DATE(YEAR($J$10),MONTH($J$10),DAY(J12)),KeyDates,0)))</formula>
    </cfRule>
  </conditionalFormatting>
  <pageMargins left="0.7" right="0.7" top="0.75" bottom="0.75" header="0.3" footer="0.3"/>
  <pageSetup scale="79" orientation="landscape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F1A7E5-58FC-4447-B771-1726E93F5FFA}">
  <dimension ref="B2:AX325"/>
  <sheetViews>
    <sheetView showGridLines="0" workbookViewId="0">
      <selection activeCell="H123" sqref="H123"/>
    </sheetView>
  </sheetViews>
  <sheetFormatPr baseColWidth="10" defaultRowHeight="12" x14ac:dyDescent="0.15"/>
  <cols>
    <col min="1" max="1" width="10.83203125" style="2"/>
    <col min="2" max="39" width="13.33203125" style="2" customWidth="1"/>
    <col min="40" max="41" width="10.83203125" style="2"/>
    <col min="42" max="50" width="13.33203125" style="2" customWidth="1"/>
    <col min="51" max="16384" width="10.83203125" style="2"/>
  </cols>
  <sheetData>
    <row r="2" spans="2:44" ht="21" x14ac:dyDescent="0.25">
      <c r="B2" s="75" t="s">
        <v>131</v>
      </c>
      <c r="C2" s="75"/>
      <c r="D2" s="75"/>
      <c r="E2" s="75"/>
      <c r="F2" s="75"/>
      <c r="G2" s="74"/>
      <c r="H2" s="74"/>
      <c r="I2" s="74"/>
      <c r="J2" s="74"/>
      <c r="K2" s="74"/>
    </row>
    <row r="4" spans="2:44" x14ac:dyDescent="0.15">
      <c r="B4" s="35" t="s">
        <v>130</v>
      </c>
      <c r="C4" s="73">
        <f>PI()/180</f>
        <v>1.7453292519943295E-2</v>
      </c>
    </row>
    <row r="6" spans="2:44" x14ac:dyDescent="0.15">
      <c r="B6" s="33" t="s">
        <v>0</v>
      </c>
      <c r="C6" s="28">
        <f>'Moon Phases'!H4</f>
        <v>2024</v>
      </c>
    </row>
    <row r="7" spans="2:44" x14ac:dyDescent="0.15">
      <c r="B7" s="26" t="s">
        <v>82</v>
      </c>
      <c r="C7" s="72" t="str">
        <f>'Moon Phases'!AA12</f>
        <v>Yes</v>
      </c>
    </row>
    <row r="8" spans="2:44" x14ac:dyDescent="0.15">
      <c r="B8" s="26" t="s">
        <v>80</v>
      </c>
      <c r="C8" s="71">
        <f>'Moon Phases'!AA13</f>
        <v>122</v>
      </c>
    </row>
    <row r="9" spans="2:44" x14ac:dyDescent="0.15">
      <c r="B9" s="23" t="s">
        <v>129</v>
      </c>
      <c r="C9" s="38">
        <f>C6+IF(C7="Yes",C8/366.25,C8/365.25)</f>
        <v>2024.3331058020478</v>
      </c>
    </row>
    <row r="12" spans="2:44" ht="19" x14ac:dyDescent="0.25">
      <c r="B12" s="70" t="s">
        <v>78</v>
      </c>
      <c r="L12" s="70" t="s">
        <v>83</v>
      </c>
      <c r="V12" s="70" t="s">
        <v>81</v>
      </c>
      <c r="AF12" s="70" t="s">
        <v>95</v>
      </c>
      <c r="AP12" s="70" t="s">
        <v>78</v>
      </c>
    </row>
    <row r="14" spans="2:44" x14ac:dyDescent="0.15">
      <c r="B14" s="33" t="s">
        <v>106</v>
      </c>
      <c r="C14" s="42">
        <f>ROUND(($C$9-2000)*12.3685,0)+VLOOKUP(B12,B102:C105,2,FALSE)</f>
        <v>301</v>
      </c>
      <c r="D14" s="2" t="s">
        <v>128</v>
      </c>
      <c r="L14" s="33" t="s">
        <v>106</v>
      </c>
      <c r="M14" s="42">
        <f>ROUND(($C$9-2000)*12.3685,0)+VLOOKUP(L12,L102:M105,2,FALSE)</f>
        <v>301.25</v>
      </c>
      <c r="N14" s="2" t="s">
        <v>128</v>
      </c>
      <c r="V14" s="33" t="s">
        <v>106</v>
      </c>
      <c r="W14" s="42">
        <f>ROUND(($C$9-2000)*12.3685,0)+VLOOKUP(V12,V102:W105,2,FALSE)</f>
        <v>301.5</v>
      </c>
      <c r="X14" s="2" t="s">
        <v>128</v>
      </c>
      <c r="AF14" s="33" t="s">
        <v>106</v>
      </c>
      <c r="AG14" s="42">
        <f>ROUND(($C$9-2000)*12.3685,0)+VLOOKUP(AF12,AF102:AG105,2,FALSE)</f>
        <v>301.75</v>
      </c>
      <c r="AH14" s="2" t="s">
        <v>128</v>
      </c>
      <c r="AP14" s="33" t="s">
        <v>106</v>
      </c>
      <c r="AQ14" s="42">
        <f>ROUND(($C$9-2000)*12.3685,0)+VLOOKUP(AP12,AP102:AQ105,2,FALSE)+1</f>
        <v>302</v>
      </c>
      <c r="AR14" s="2" t="s">
        <v>128</v>
      </c>
    </row>
    <row r="15" spans="2:44" x14ac:dyDescent="0.15">
      <c r="B15" s="26" t="s">
        <v>46</v>
      </c>
      <c r="C15" s="40">
        <f>C14/1236.85</f>
        <v>0.24336014876500789</v>
      </c>
      <c r="L15" s="26" t="s">
        <v>46</v>
      </c>
      <c r="M15" s="40">
        <f>M14/1236.85</f>
        <v>0.24356227513441406</v>
      </c>
      <c r="V15" s="26" t="s">
        <v>46</v>
      </c>
      <c r="W15" s="40">
        <f>W14/1236.85</f>
        <v>0.2437644015038202</v>
      </c>
      <c r="AF15" s="26" t="s">
        <v>46</v>
      </c>
      <c r="AG15" s="40">
        <f>AG14/1236.85</f>
        <v>0.24396652787322637</v>
      </c>
      <c r="AP15" s="26" t="s">
        <v>46</v>
      </c>
      <c r="AQ15" s="40">
        <f>AQ14/1236.85</f>
        <v>0.24416865424263251</v>
      </c>
    </row>
    <row r="16" spans="2:44" x14ac:dyDescent="0.15">
      <c r="B16" s="26" t="s">
        <v>54</v>
      </c>
      <c r="C16" s="40">
        <f>1-0.002516*C15-0.0000074*POWER(C15,2)</f>
        <v>0.99938726760690844</v>
      </c>
      <c r="L16" s="26" t="s">
        <v>54</v>
      </c>
      <c r="M16" s="40">
        <f>1-0.002516*M15-0.0000074*POWER(M15,2)</f>
        <v>0.99938675832865609</v>
      </c>
      <c r="V16" s="26" t="s">
        <v>54</v>
      </c>
      <c r="W16" s="40">
        <f>1-0.002516*W15-0.0000074*POWER(W15,2)</f>
        <v>0.99938624904979889</v>
      </c>
      <c r="AF16" s="26" t="s">
        <v>54</v>
      </c>
      <c r="AG16" s="40">
        <f>1-0.002516*AG15-0.0000074*POWER(AG15,2)</f>
        <v>0.99938573977033729</v>
      </c>
      <c r="AP16" s="26" t="s">
        <v>54</v>
      </c>
      <c r="AQ16" s="40">
        <f>1-0.002516*AQ15-0.0000074*POWER(AQ15,2)</f>
        <v>0.99938523049027084</v>
      </c>
    </row>
    <row r="17" spans="2:49" x14ac:dyDescent="0.15">
      <c r="B17" s="23" t="s">
        <v>127</v>
      </c>
      <c r="C17" s="38">
        <f>2451550.09765+29.530588853*C14+0.0001337*POWER(C15,2)-0.00000015*POWER(C15,3)+0.00000000073*POWER(C15,4)</f>
        <v>2460438.8049026686</v>
      </c>
      <c r="L17" s="23" t="s">
        <v>127</v>
      </c>
      <c r="M17" s="38">
        <f>2451550.09765+29.530588853*M14+0.0001337*POWER(M15,2)-0.00000015*POWER(M15,3)+0.00000000073*POWER(M15,4)</f>
        <v>2460446.1875498956</v>
      </c>
      <c r="V17" s="23" t="s">
        <v>127</v>
      </c>
      <c r="W17" s="38">
        <f>2451550.09765+29.530588853*W14+0.0001337*POWER(W15,2)-0.00000015*POWER(W15,3)+0.00000000073*POWER(W15,4)</f>
        <v>2460453.5701971217</v>
      </c>
      <c r="AF17" s="23" t="s">
        <v>127</v>
      </c>
      <c r="AG17" s="38">
        <f>2451550.09765+29.530588853*AG14+0.0001337*POWER(AG15,2)-0.00000015*POWER(AG15,3)+0.00000000073*POWER(AG15,4)</f>
        <v>2460460.9528443478</v>
      </c>
      <c r="AP17" s="23" t="s">
        <v>127</v>
      </c>
      <c r="AQ17" s="38">
        <f>2451550.09765+29.530588853*AQ14+0.0001337*POWER(AQ15,2)-0.00000015*POWER(AQ15,3)+0.00000000073*POWER(AQ15,4)</f>
        <v>2460468.3354915748</v>
      </c>
    </row>
    <row r="19" spans="2:49" x14ac:dyDescent="0.15">
      <c r="B19" s="33" t="s">
        <v>126</v>
      </c>
      <c r="C19" s="43">
        <f>MOD(D19,360)</f>
        <v>123.26576239732822</v>
      </c>
      <c r="D19" s="43">
        <f>E19+F19*C$14+G19*POWER(C$15,2)+H19*POWER(C$15,3)+I19*POWER(C$15,4)</f>
        <v>8763.2657623973282</v>
      </c>
      <c r="E19" s="43">
        <v>2.5533999999999999</v>
      </c>
      <c r="F19" s="43">
        <v>29.105356690000001</v>
      </c>
      <c r="G19" s="43">
        <v>-2.1800000000000001E-5</v>
      </c>
      <c r="H19" s="43">
        <v>-1.1000000000000001E-7</v>
      </c>
      <c r="I19" s="42">
        <v>0</v>
      </c>
      <c r="L19" s="33" t="s">
        <v>126</v>
      </c>
      <c r="M19" s="43">
        <f>MOD(N19,360)</f>
        <v>130.5421015676784</v>
      </c>
      <c r="N19" s="43">
        <f>O19+P19*M$14+Q19*POWER(M$15,2)+R19*POWER(M$15,3)+S19*POWER(M$15,4)</f>
        <v>8770.5421015676784</v>
      </c>
      <c r="O19" s="43">
        <v>2.5533999999999999</v>
      </c>
      <c r="P19" s="43">
        <v>29.105356690000001</v>
      </c>
      <c r="Q19" s="43">
        <v>-2.1800000000000001E-5</v>
      </c>
      <c r="R19" s="43">
        <v>-1.1000000000000001E-7</v>
      </c>
      <c r="S19" s="42">
        <v>0</v>
      </c>
      <c r="V19" s="33" t="s">
        <v>126</v>
      </c>
      <c r="W19" s="43">
        <f>MOD(X19,360)</f>
        <v>137.81844073802858</v>
      </c>
      <c r="X19" s="43">
        <f>Y19+Z19*W$14+AA19*POWER(W$15,2)+AB19*POWER(W$15,3)+AC19*POWER(W$15,4)</f>
        <v>8777.8184407380286</v>
      </c>
      <c r="Y19" s="43">
        <v>2.5533999999999999</v>
      </c>
      <c r="Z19" s="43">
        <v>29.105356690000001</v>
      </c>
      <c r="AA19" s="43">
        <v>-2.1800000000000001E-5</v>
      </c>
      <c r="AB19" s="43">
        <v>-1.1000000000000001E-7</v>
      </c>
      <c r="AC19" s="42">
        <v>0</v>
      </c>
      <c r="AF19" s="33" t="s">
        <v>126</v>
      </c>
      <c r="AG19" s="43">
        <f>MOD(AH19,360)</f>
        <v>145.09477990837513</v>
      </c>
      <c r="AH19" s="43">
        <f>AI19+AJ19*AG$14+AK19*POWER(AG$15,2)+AL19*POWER(AG$15,3)+AM19*POWER(AG$15,4)</f>
        <v>8785.0947799083751</v>
      </c>
      <c r="AI19" s="43">
        <v>2.5533999999999999</v>
      </c>
      <c r="AJ19" s="43">
        <v>29.105356690000001</v>
      </c>
      <c r="AK19" s="43">
        <v>-2.1800000000000001E-5</v>
      </c>
      <c r="AL19" s="43">
        <v>-1.1000000000000001E-7</v>
      </c>
      <c r="AM19" s="42">
        <v>0</v>
      </c>
      <c r="AP19" s="69" t="s">
        <v>126</v>
      </c>
      <c r="AQ19" s="68">
        <f>MOD(AR19,360)</f>
        <v>152.37111907872168</v>
      </c>
      <c r="AR19" s="68">
        <f>AS19+AT19*AQ$14+AU19*POWER(AQ$15,2)+AV19*POWER(AQ$15,3)+AW19*POWER(AQ$15,4)</f>
        <v>8792.3711190787217</v>
      </c>
      <c r="AS19" s="68">
        <v>2.5533999999999999</v>
      </c>
      <c r="AT19" s="68">
        <v>29.105356690000001</v>
      </c>
      <c r="AU19" s="68">
        <v>-2.1800000000000001E-5</v>
      </c>
      <c r="AV19" s="68">
        <v>-1.1000000000000001E-7</v>
      </c>
      <c r="AW19" s="67">
        <v>0</v>
      </c>
    </row>
    <row r="20" spans="2:49" x14ac:dyDescent="0.15">
      <c r="B20" s="26" t="s">
        <v>125</v>
      </c>
      <c r="C20" s="41">
        <f>MOD(D20,360)</f>
        <v>52.462455750923255</v>
      </c>
      <c r="D20" s="41">
        <f>E20+F20*C$14+G20*POWER(C$15,2)+H20*POWER(C$15,3)+I20*POWER(C$15,4)</f>
        <v>116332.46245575092</v>
      </c>
      <c r="E20" s="41">
        <v>201.5643</v>
      </c>
      <c r="F20" s="41">
        <v>385.81693528</v>
      </c>
      <c r="G20" s="41">
        <v>1.07438E-2</v>
      </c>
      <c r="H20" s="41">
        <v>1.239E-5</v>
      </c>
      <c r="I20" s="40">
        <v>-5.8000000000000003E-8</v>
      </c>
      <c r="L20" s="26" t="s">
        <v>125</v>
      </c>
      <c r="M20" s="41">
        <f>MOD(N20,360)</f>
        <v>148.91669062875735</v>
      </c>
      <c r="N20" s="41">
        <f>O20+P20*M$14+Q20*POWER(M$15,2)+R20*POWER(M$15,3)+S20*POWER(M$15,4)</f>
        <v>116428.91669062876</v>
      </c>
      <c r="O20" s="41">
        <v>201.5643</v>
      </c>
      <c r="P20" s="41">
        <v>385.81693528</v>
      </c>
      <c r="Q20" s="41">
        <v>1.07438E-2</v>
      </c>
      <c r="R20" s="41">
        <v>1.239E-5</v>
      </c>
      <c r="S20" s="40">
        <v>-5.8000000000000003E-8</v>
      </c>
      <c r="V20" s="26" t="s">
        <v>125</v>
      </c>
      <c r="W20" s="41">
        <f>MOD(X20,360)</f>
        <v>245.37092550749367</v>
      </c>
      <c r="X20" s="41">
        <f>Y20+Z20*W$14+AA20*POWER(W$15,2)+AB20*POWER(W$15,3)+AC20*POWER(W$15,4)</f>
        <v>116525.37092550749</v>
      </c>
      <c r="Y20" s="41">
        <v>201.5643</v>
      </c>
      <c r="Z20" s="41">
        <v>385.81693528</v>
      </c>
      <c r="AA20" s="41">
        <v>1.07438E-2</v>
      </c>
      <c r="AB20" s="41">
        <v>1.239E-5</v>
      </c>
      <c r="AC20" s="40">
        <v>-5.8000000000000003E-8</v>
      </c>
      <c r="AF20" s="26" t="s">
        <v>125</v>
      </c>
      <c r="AG20" s="41">
        <f>MOD(AH20,360)</f>
        <v>341.82516038711765</v>
      </c>
      <c r="AH20" s="41">
        <f>AI20+AJ20*AG$14+AK20*POWER(AG$15,2)+AL20*POWER(AG$15,3)+AM20*POWER(AG$15,4)</f>
        <v>116621.82516038712</v>
      </c>
      <c r="AI20" s="41">
        <v>201.5643</v>
      </c>
      <c r="AJ20" s="41">
        <v>385.81693528</v>
      </c>
      <c r="AK20" s="41">
        <v>1.07438E-2</v>
      </c>
      <c r="AL20" s="41">
        <v>1.239E-5</v>
      </c>
      <c r="AM20" s="40">
        <v>-5.8000000000000003E-8</v>
      </c>
      <c r="AP20" s="66" t="s">
        <v>125</v>
      </c>
      <c r="AQ20" s="65">
        <f>MOD(AR20,360)</f>
        <v>78.279395267585642</v>
      </c>
      <c r="AR20" s="65">
        <f>AS20+AT20*AQ$14+AU20*POWER(AQ$15,2)+AV20*POWER(AQ$15,3)+AW20*POWER(AQ$15,4)</f>
        <v>116718.27939526759</v>
      </c>
      <c r="AS20" s="65">
        <v>201.5643</v>
      </c>
      <c r="AT20" s="65">
        <v>385.81693528</v>
      </c>
      <c r="AU20" s="65">
        <v>1.07438E-2</v>
      </c>
      <c r="AV20" s="65">
        <v>1.239E-5</v>
      </c>
      <c r="AW20" s="64">
        <v>-5.8000000000000003E-8</v>
      </c>
    </row>
    <row r="21" spans="2:49" x14ac:dyDescent="0.15">
      <c r="B21" s="26" t="s">
        <v>55</v>
      </c>
      <c r="C21" s="41">
        <f>MOD(D21,360)</f>
        <v>32.532027929133619</v>
      </c>
      <c r="D21" s="41">
        <f>E21+F21*C$14+G21*POWER(C$15,2)+H21*POWER(C$15,3)+I21*POWER(C$15,4)</f>
        <v>117752.53202792913</v>
      </c>
      <c r="E21" s="41">
        <v>160.71080000000001</v>
      </c>
      <c r="F21" s="41">
        <v>390.67050274000002</v>
      </c>
      <c r="G21" s="41">
        <v>-1.6341000000000001E-3</v>
      </c>
      <c r="H21" s="41">
        <v>-2.2699999999999999E-6</v>
      </c>
      <c r="I21" s="40">
        <v>1.0999999999999999E-8</v>
      </c>
      <c r="L21" s="26" t="s">
        <v>55</v>
      </c>
      <c r="M21" s="41">
        <f>MOD(N21,360)</f>
        <v>130.19965345322271</v>
      </c>
      <c r="N21" s="41">
        <f>O21+P21*M$14+Q21*POWER(M$15,2)+R21*POWER(M$15,3)+S21*POWER(M$15,4)</f>
        <v>117850.19965345322</v>
      </c>
      <c r="O21" s="41">
        <v>160.71080000000001</v>
      </c>
      <c r="P21" s="41">
        <v>390.67050274000002</v>
      </c>
      <c r="Q21" s="41">
        <v>-1.6341000000000001E-3</v>
      </c>
      <c r="R21" s="41">
        <v>-2.2699999999999999E-6</v>
      </c>
      <c r="S21" s="40">
        <v>1.0999999999999999E-8</v>
      </c>
      <c r="V21" s="26" t="s">
        <v>55</v>
      </c>
      <c r="W21" s="41">
        <f>MOD(X21,360)</f>
        <v>227.86727897716628</v>
      </c>
      <c r="X21" s="41">
        <f>Y21+Z21*W$14+AA21*POWER(W$15,2)+AB21*POWER(W$15,3)+AC21*POWER(W$15,4)</f>
        <v>117947.86727897717</v>
      </c>
      <c r="Y21" s="41">
        <v>160.71080000000001</v>
      </c>
      <c r="Z21" s="41">
        <v>390.67050274000002</v>
      </c>
      <c r="AA21" s="41">
        <v>-1.6341000000000001E-3</v>
      </c>
      <c r="AB21" s="41">
        <v>-2.2699999999999999E-6</v>
      </c>
      <c r="AC21" s="40">
        <v>1.0999999999999999E-8</v>
      </c>
      <c r="AF21" s="26" t="s">
        <v>55</v>
      </c>
      <c r="AG21" s="41">
        <f>MOD(AH21,360)</f>
        <v>325.53490450100799</v>
      </c>
      <c r="AH21" s="41">
        <f>AI21+AJ21*AG$14+AK21*POWER(AG$15,2)+AL21*POWER(AG$15,3)+AM21*POWER(AG$15,4)</f>
        <v>118045.53490450101</v>
      </c>
      <c r="AI21" s="41">
        <v>160.71080000000001</v>
      </c>
      <c r="AJ21" s="41">
        <v>390.67050274000002</v>
      </c>
      <c r="AK21" s="41">
        <v>-1.6341000000000001E-3</v>
      </c>
      <c r="AL21" s="41">
        <v>-2.2699999999999999E-6</v>
      </c>
      <c r="AM21" s="40">
        <v>1.0999999999999999E-8</v>
      </c>
      <c r="AP21" s="66" t="s">
        <v>55</v>
      </c>
      <c r="AQ21" s="65">
        <f>MOD(AR21,360)</f>
        <v>63.20253002467507</v>
      </c>
      <c r="AR21" s="65">
        <f>AS21+AT21*AQ$14+AU21*POWER(AQ$15,2)+AV21*POWER(AQ$15,3)+AW21*POWER(AQ$15,4)</f>
        <v>118143.20253002468</v>
      </c>
      <c r="AS21" s="65">
        <v>160.71080000000001</v>
      </c>
      <c r="AT21" s="65">
        <v>390.67050274000002</v>
      </c>
      <c r="AU21" s="65">
        <v>-1.6341000000000001E-3</v>
      </c>
      <c r="AV21" s="65">
        <v>-2.2699999999999999E-6</v>
      </c>
      <c r="AW21" s="64">
        <v>1.0999999999999999E-8</v>
      </c>
    </row>
    <row r="22" spans="2:49" x14ac:dyDescent="0.15">
      <c r="B22" s="23" t="s">
        <v>109</v>
      </c>
      <c r="C22" s="39">
        <f>MOD(D22,360)</f>
        <v>14.08422677170114</v>
      </c>
      <c r="D22" s="39">
        <f>E22+F22*C$14+G22*POWER(C$15,2)+H22*POWER(C$15,3)+I22*POWER(C$15,4)</f>
        <v>-345.91577322829886</v>
      </c>
      <c r="E22" s="39">
        <v>124.77460000000001</v>
      </c>
      <c r="F22" s="39">
        <v>-1.5637558</v>
      </c>
      <c r="G22" s="39">
        <v>2.0690999999999999E-3</v>
      </c>
      <c r="H22" s="39">
        <v>2.1500000000000002E-6</v>
      </c>
      <c r="I22" s="38">
        <v>0</v>
      </c>
      <c r="L22" s="23" t="s">
        <v>109</v>
      </c>
      <c r="M22" s="39">
        <f>MOD(N22,360)</f>
        <v>13.693288025418951</v>
      </c>
      <c r="N22" s="39">
        <f>O22+P22*M$14+Q22*POWER(M$15,2)+R22*POWER(M$15,3)+S22*POWER(M$15,4)</f>
        <v>-346.30671197458105</v>
      </c>
      <c r="O22" s="39">
        <v>124.77460000000001</v>
      </c>
      <c r="P22" s="39">
        <v>-1.5637558</v>
      </c>
      <c r="Q22" s="39">
        <v>2.0690999999999999E-3</v>
      </c>
      <c r="R22" s="39">
        <v>2.1500000000000002E-6</v>
      </c>
      <c r="S22" s="38">
        <v>0</v>
      </c>
      <c r="V22" s="23" t="s">
        <v>109</v>
      </c>
      <c r="W22" s="39">
        <f>MOD(X22,360)</f>
        <v>13.302349279305929</v>
      </c>
      <c r="X22" s="39">
        <f>Y22+Z22*W$14+AA22*POWER(W$15,2)+AB22*POWER(W$15,3)+AC22*POWER(W$15,4)</f>
        <v>-346.69765072069407</v>
      </c>
      <c r="Y22" s="39">
        <v>124.77460000000001</v>
      </c>
      <c r="Z22" s="39">
        <v>-1.5637558</v>
      </c>
      <c r="AA22" s="39">
        <v>2.0690999999999999E-3</v>
      </c>
      <c r="AB22" s="39">
        <v>2.1500000000000002E-6</v>
      </c>
      <c r="AC22" s="38">
        <v>0</v>
      </c>
      <c r="AF22" s="23" t="s">
        <v>109</v>
      </c>
      <c r="AG22" s="39">
        <f>MOD(AH22,360)</f>
        <v>12.91141053336213</v>
      </c>
      <c r="AH22" s="39">
        <f>AI22+AJ22*AG$14+AK22*POWER(AG$15,2)+AL22*POWER(AG$15,3)+AM22*POWER(AG$15,4)</f>
        <v>-347.08858946663787</v>
      </c>
      <c r="AI22" s="39">
        <v>124.77460000000001</v>
      </c>
      <c r="AJ22" s="39">
        <v>-1.5637558</v>
      </c>
      <c r="AK22" s="39">
        <v>2.0690999999999999E-3</v>
      </c>
      <c r="AL22" s="39">
        <v>2.1500000000000002E-6</v>
      </c>
      <c r="AM22" s="38">
        <v>0</v>
      </c>
      <c r="AP22" s="63" t="s">
        <v>109</v>
      </c>
      <c r="AQ22" s="62">
        <f>MOD(AR22,360)</f>
        <v>12.520471787587553</v>
      </c>
      <c r="AR22" s="62">
        <f>AS22+AT22*AQ$14+AU22*POWER(AQ$15,2)+AV22*POWER(AQ$15,3)+AW22*POWER(AQ$15,4)</f>
        <v>-347.47952821241245</v>
      </c>
      <c r="AS22" s="62">
        <v>124.77460000000001</v>
      </c>
      <c r="AT22" s="62">
        <v>-1.5637558</v>
      </c>
      <c r="AU22" s="62">
        <v>2.0690999999999999E-3</v>
      </c>
      <c r="AV22" s="62">
        <v>2.1500000000000002E-6</v>
      </c>
      <c r="AW22" s="61">
        <v>0</v>
      </c>
    </row>
    <row r="24" spans="2:49" ht="15" x14ac:dyDescent="0.2">
      <c r="B24" s="37" t="s">
        <v>124</v>
      </c>
      <c r="C24" s="46"/>
      <c r="D24" s="46"/>
      <c r="E24" s="46"/>
      <c r="F24" s="46"/>
      <c r="G24" s="46"/>
      <c r="H24" s="46"/>
      <c r="I24" s="36"/>
      <c r="L24" s="37" t="s">
        <v>124</v>
      </c>
      <c r="M24" s="46"/>
      <c r="N24" s="46"/>
      <c r="O24" s="46"/>
      <c r="P24" s="46"/>
      <c r="Q24" s="46"/>
      <c r="R24" s="46"/>
      <c r="S24" s="36"/>
      <c r="V24" s="37" t="s">
        <v>124</v>
      </c>
      <c r="W24" s="46"/>
      <c r="X24" s="46"/>
      <c r="Y24" s="46"/>
      <c r="Z24" s="46"/>
      <c r="AA24" s="46"/>
      <c r="AB24" s="46"/>
      <c r="AC24" s="36"/>
      <c r="AF24" s="37" t="s">
        <v>124</v>
      </c>
      <c r="AG24" s="46"/>
      <c r="AH24" s="46"/>
      <c r="AI24" s="46"/>
      <c r="AJ24" s="46"/>
      <c r="AK24" s="46"/>
      <c r="AL24" s="46"/>
      <c r="AM24" s="36"/>
      <c r="AP24" s="37" t="s">
        <v>124</v>
      </c>
      <c r="AQ24" s="46"/>
      <c r="AR24" s="46"/>
      <c r="AS24" s="46"/>
      <c r="AT24" s="46"/>
      <c r="AU24" s="46"/>
      <c r="AV24" s="46"/>
      <c r="AW24" s="36"/>
    </row>
    <row r="25" spans="2:49" x14ac:dyDescent="0.15">
      <c r="B25" s="33"/>
      <c r="C25" s="29"/>
      <c r="D25" s="44" t="s">
        <v>123</v>
      </c>
      <c r="E25" s="29"/>
      <c r="F25" s="29"/>
      <c r="G25" s="29"/>
      <c r="H25" s="29"/>
      <c r="I25" s="28"/>
      <c r="L25" s="33"/>
      <c r="M25" s="29"/>
      <c r="N25" s="44" t="s">
        <v>123</v>
      </c>
      <c r="O25" s="29"/>
      <c r="P25" s="29"/>
      <c r="Q25" s="29"/>
      <c r="R25" s="29"/>
      <c r="S25" s="28"/>
      <c r="V25" s="33"/>
      <c r="W25" s="29"/>
      <c r="X25" s="44" t="s">
        <v>123</v>
      </c>
      <c r="Y25" s="29"/>
      <c r="Z25" s="29"/>
      <c r="AA25" s="29"/>
      <c r="AB25" s="29"/>
      <c r="AC25" s="28"/>
      <c r="AF25" s="33"/>
      <c r="AG25" s="29"/>
      <c r="AH25" s="44" t="s">
        <v>123</v>
      </c>
      <c r="AI25" s="29"/>
      <c r="AJ25" s="29"/>
      <c r="AK25" s="29"/>
      <c r="AL25" s="29"/>
      <c r="AM25" s="28"/>
      <c r="AP25" s="33"/>
      <c r="AQ25" s="29"/>
      <c r="AR25" s="44" t="s">
        <v>123</v>
      </c>
      <c r="AS25" s="29"/>
      <c r="AT25" s="29"/>
      <c r="AU25" s="29"/>
      <c r="AV25" s="29"/>
      <c r="AW25" s="28"/>
    </row>
    <row r="26" spans="2:49" x14ac:dyDescent="0.15">
      <c r="B26" s="51">
        <f t="shared" ref="B26:B39" si="0">C26*D26</f>
        <v>-1.5208087549789434E-4</v>
      </c>
      <c r="C26" s="41">
        <v>3.2499999999999999E-4</v>
      </c>
      <c r="D26" s="41">
        <f t="shared" ref="D26:D39" si="1">SIN($C$4*F26)</f>
        <v>-0.46794115537813646</v>
      </c>
      <c r="E26" s="60" t="s">
        <v>66</v>
      </c>
      <c r="F26" s="41">
        <f t="shared" ref="F26:F39" si="2">G26+H26*C$14+I26*POWER(C$15,2)</f>
        <v>332.09926473676188</v>
      </c>
      <c r="G26" s="41">
        <v>299.77</v>
      </c>
      <c r="H26" s="41">
        <v>0.107408</v>
      </c>
      <c r="I26" s="40">
        <v>-9.1730000000000006E-3</v>
      </c>
      <c r="L26" s="51">
        <f t="shared" ref="L26:L39" si="3">M26*N26</f>
        <v>-1.5194625512610438E-4</v>
      </c>
      <c r="M26" s="41">
        <v>3.2499999999999999E-4</v>
      </c>
      <c r="N26" s="41">
        <f t="shared" ref="N26:N39" si="4">SIN($C$4*P26)</f>
        <v>-0.46752693884955199</v>
      </c>
      <c r="O26" s="60" t="s">
        <v>66</v>
      </c>
      <c r="P26" s="41">
        <f t="shared" ref="P26:P39" si="5">Q26+R26*M$14+S26*POWER(M$15,2)</f>
        <v>332.12611583395648</v>
      </c>
      <c r="Q26" s="41">
        <v>299.77</v>
      </c>
      <c r="R26" s="41">
        <v>0.107408</v>
      </c>
      <c r="S26" s="40">
        <v>-9.1730000000000006E-3</v>
      </c>
      <c r="V26" s="51">
        <f t="shared" ref="V26:V39" si="6">W26*X26</f>
        <v>-1.5181160138710571E-4</v>
      </c>
      <c r="W26" s="41">
        <v>3.2499999999999999E-4</v>
      </c>
      <c r="X26" s="41">
        <f t="shared" ref="X26:X39" si="7">SIN($C$4*Z26)</f>
        <v>-0.46711261965263295</v>
      </c>
      <c r="Y26" s="60" t="s">
        <v>66</v>
      </c>
      <c r="Z26" s="41">
        <f t="shared" ref="Z26:Z39" si="8">AA26+AB26*W$14+AC26*POWER(W$15,2)</f>
        <v>332.15296693040159</v>
      </c>
      <c r="AA26" s="41">
        <v>299.77</v>
      </c>
      <c r="AB26" s="41">
        <v>0.107408</v>
      </c>
      <c r="AC26" s="40">
        <v>-9.1730000000000006E-3</v>
      </c>
      <c r="AF26" s="51">
        <f t="shared" ref="AF26:AF39" si="9">AG26*AH26</f>
        <v>-1.516769143104742E-4</v>
      </c>
      <c r="AG26" s="41">
        <v>3.2499999999999999E-4</v>
      </c>
      <c r="AH26" s="41">
        <f t="shared" ref="AH26:AH39" si="10">SIN($C$4*AJ26)</f>
        <v>-0.46669819787838218</v>
      </c>
      <c r="AI26" s="60" t="s">
        <v>66</v>
      </c>
      <c r="AJ26" s="41">
        <f t="shared" ref="AJ26:AJ39" si="11">AK26+AL26*AG$14+AM26*POWER(AG$15,2)</f>
        <v>332.17981802609717</v>
      </c>
      <c r="AK26" s="41">
        <v>299.77</v>
      </c>
      <c r="AL26" s="41">
        <v>0.107408</v>
      </c>
      <c r="AM26" s="40">
        <v>-9.1730000000000006E-3</v>
      </c>
      <c r="AP26" s="51">
        <f t="shared" ref="AP26:AP39" si="12">AQ26*AR26</f>
        <v>-1.5154219392579391E-4</v>
      </c>
      <c r="AQ26" s="41">
        <v>3.2499999999999999E-4</v>
      </c>
      <c r="AR26" s="41">
        <f t="shared" ref="AR26:AR39" si="13">SIN($C$4*AT26)</f>
        <v>-0.46628367361782747</v>
      </c>
      <c r="AS26" s="60" t="s">
        <v>66</v>
      </c>
      <c r="AT26" s="41">
        <f t="shared" ref="AT26:AT39" si="14">AU26+AV26*AQ$14+AW26*POWER(AQ$15,2)</f>
        <v>332.20666912104315</v>
      </c>
      <c r="AU26" s="41">
        <v>299.77</v>
      </c>
      <c r="AV26" s="41">
        <v>0.107408</v>
      </c>
      <c r="AW26" s="40">
        <v>-9.1730000000000006E-3</v>
      </c>
    </row>
    <row r="27" spans="2:49" x14ac:dyDescent="0.15">
      <c r="B27" s="51">
        <f t="shared" si="0"/>
        <v>-1.6063566518713241E-4</v>
      </c>
      <c r="C27" s="41">
        <v>1.65E-4</v>
      </c>
      <c r="D27" s="41">
        <f t="shared" si="1"/>
        <v>-0.97354948598262059</v>
      </c>
      <c r="E27" s="60" t="s">
        <v>69</v>
      </c>
      <c r="F27" s="41">
        <f t="shared" si="2"/>
        <v>256.792621</v>
      </c>
      <c r="G27" s="41">
        <v>251.88</v>
      </c>
      <c r="H27" s="41">
        <v>1.6320999999999999E-2</v>
      </c>
      <c r="I27" s="40">
        <v>0</v>
      </c>
      <c r="L27" s="51">
        <f t="shared" si="3"/>
        <v>-1.6063834943895014E-4</v>
      </c>
      <c r="M27" s="41">
        <v>1.65E-4</v>
      </c>
      <c r="N27" s="41">
        <f t="shared" si="4"/>
        <v>-0.97356575417545543</v>
      </c>
      <c r="O27" s="60" t="s">
        <v>69</v>
      </c>
      <c r="P27" s="41">
        <f t="shared" si="5"/>
        <v>256.79670125000001</v>
      </c>
      <c r="Q27" s="41">
        <v>251.88</v>
      </c>
      <c r="R27" s="41">
        <v>1.6320999999999999E-2</v>
      </c>
      <c r="S27" s="40">
        <v>0</v>
      </c>
      <c r="V27" s="51">
        <f t="shared" si="6"/>
        <v>-1.6064103287610578E-4</v>
      </c>
      <c r="W27" s="41">
        <v>1.65E-4</v>
      </c>
      <c r="X27" s="41">
        <f t="shared" si="7"/>
        <v>-0.97358201743094408</v>
      </c>
      <c r="Y27" s="60" t="s">
        <v>69</v>
      </c>
      <c r="Z27" s="41">
        <f t="shared" si="8"/>
        <v>256.80078149999997</v>
      </c>
      <c r="AA27" s="41">
        <v>251.88</v>
      </c>
      <c r="AB27" s="41">
        <v>1.6320999999999999E-2</v>
      </c>
      <c r="AC27" s="40">
        <v>0</v>
      </c>
      <c r="AF27" s="51">
        <f t="shared" si="9"/>
        <v>-1.6064371549858573E-4</v>
      </c>
      <c r="AG27" s="41">
        <v>1.65E-4</v>
      </c>
      <c r="AH27" s="41">
        <f t="shared" si="10"/>
        <v>-0.97359827574900448</v>
      </c>
      <c r="AI27" s="60" t="s">
        <v>69</v>
      </c>
      <c r="AJ27" s="41">
        <f t="shared" si="11"/>
        <v>256.80486174999999</v>
      </c>
      <c r="AK27" s="41">
        <v>251.88</v>
      </c>
      <c r="AL27" s="41">
        <v>1.6320999999999999E-2</v>
      </c>
      <c r="AM27" s="40">
        <v>0</v>
      </c>
      <c r="AP27" s="51">
        <f t="shared" si="12"/>
        <v>-1.6064639730637635E-4</v>
      </c>
      <c r="AQ27" s="41">
        <v>1.65E-4</v>
      </c>
      <c r="AR27" s="41">
        <f t="shared" si="13"/>
        <v>-0.9736145291295536</v>
      </c>
      <c r="AS27" s="60" t="s">
        <v>69</v>
      </c>
      <c r="AT27" s="41">
        <f t="shared" si="14"/>
        <v>256.808942</v>
      </c>
      <c r="AU27" s="41">
        <v>251.88</v>
      </c>
      <c r="AV27" s="41">
        <v>1.6320999999999999E-2</v>
      </c>
      <c r="AW27" s="40">
        <v>0</v>
      </c>
    </row>
    <row r="28" spans="2:49" x14ac:dyDescent="0.15">
      <c r="B28" s="51">
        <f t="shared" si="0"/>
        <v>-1.7006916236272578E-5</v>
      </c>
      <c r="C28" s="41">
        <v>1.64E-4</v>
      </c>
      <c r="D28" s="41">
        <f t="shared" si="1"/>
        <v>-0.10370070875775962</v>
      </c>
      <c r="E28" s="60" t="s">
        <v>68</v>
      </c>
      <c r="F28" s="41">
        <f t="shared" si="2"/>
        <v>8274.0476859999999</v>
      </c>
      <c r="G28" s="41">
        <v>251.83</v>
      </c>
      <c r="H28" s="41">
        <v>26.651886000000001</v>
      </c>
      <c r="I28" s="40">
        <v>0</v>
      </c>
      <c r="L28" s="51">
        <f t="shared" si="3"/>
        <v>2.0340912137781699E-6</v>
      </c>
      <c r="M28" s="41">
        <v>1.64E-4</v>
      </c>
      <c r="N28" s="41">
        <f t="shared" si="4"/>
        <v>1.240299520596445E-2</v>
      </c>
      <c r="O28" s="60" t="s">
        <v>68</v>
      </c>
      <c r="P28" s="41">
        <f t="shared" si="5"/>
        <v>8280.7106574999998</v>
      </c>
      <c r="Q28" s="41">
        <v>251.83</v>
      </c>
      <c r="R28" s="41">
        <v>26.651886000000001</v>
      </c>
      <c r="S28" s="40">
        <v>0</v>
      </c>
      <c r="V28" s="51">
        <f t="shared" si="6"/>
        <v>2.1047621520351861E-5</v>
      </c>
      <c r="W28" s="41">
        <v>1.64E-4</v>
      </c>
      <c r="X28" s="41">
        <f t="shared" si="7"/>
        <v>0.1283391556119016</v>
      </c>
      <c r="Y28" s="60" t="s">
        <v>68</v>
      </c>
      <c r="Z28" s="41">
        <f t="shared" si="8"/>
        <v>8287.3736290000015</v>
      </c>
      <c r="AA28" s="41">
        <v>251.83</v>
      </c>
      <c r="AB28" s="41">
        <v>26.651886000000001</v>
      </c>
      <c r="AC28" s="40">
        <v>0</v>
      </c>
      <c r="AF28" s="51">
        <f t="shared" si="9"/>
        <v>3.9776833939579861E-5</v>
      </c>
      <c r="AG28" s="41">
        <v>1.64E-4</v>
      </c>
      <c r="AH28" s="41">
        <f t="shared" si="10"/>
        <v>0.24254167036329183</v>
      </c>
      <c r="AI28" s="60" t="s">
        <v>68</v>
      </c>
      <c r="AJ28" s="41">
        <f t="shared" si="11"/>
        <v>8294.0366005000014</v>
      </c>
      <c r="AK28" s="41">
        <v>251.83</v>
      </c>
      <c r="AL28" s="41">
        <v>26.651886000000001</v>
      </c>
      <c r="AM28" s="40">
        <v>0</v>
      </c>
      <c r="AP28" s="51">
        <f t="shared" si="12"/>
        <v>5.7968728382998926E-5</v>
      </c>
      <c r="AQ28" s="41">
        <v>1.64E-4</v>
      </c>
      <c r="AR28" s="41">
        <f t="shared" si="13"/>
        <v>0.35346785599389591</v>
      </c>
      <c r="AS28" s="60" t="s">
        <v>68</v>
      </c>
      <c r="AT28" s="41">
        <f t="shared" si="14"/>
        <v>8300.6995720000014</v>
      </c>
      <c r="AU28" s="41">
        <v>251.83</v>
      </c>
      <c r="AV28" s="41">
        <v>26.651886000000001</v>
      </c>
      <c r="AW28" s="40">
        <v>0</v>
      </c>
    </row>
    <row r="29" spans="2:49" x14ac:dyDescent="0.15">
      <c r="B29" s="51">
        <f t="shared" si="0"/>
        <v>6.3806002431749049E-5</v>
      </c>
      <c r="C29" s="41">
        <v>1.26E-4</v>
      </c>
      <c r="D29" s="41">
        <f t="shared" si="1"/>
        <v>0.50639684469642099</v>
      </c>
      <c r="E29" s="60" t="s">
        <v>122</v>
      </c>
      <c r="F29" s="41">
        <f t="shared" si="2"/>
        <v>11309.575878</v>
      </c>
      <c r="G29" s="41">
        <v>349.42</v>
      </c>
      <c r="H29" s="41">
        <v>36.412478</v>
      </c>
      <c r="I29" s="40">
        <v>0</v>
      </c>
      <c r="L29" s="51">
        <f t="shared" si="3"/>
        <v>4.5812683902324388E-5</v>
      </c>
      <c r="M29" s="41">
        <v>1.26E-4</v>
      </c>
      <c r="N29" s="41">
        <f t="shared" si="4"/>
        <v>0.36359272938352688</v>
      </c>
      <c r="O29" s="60" t="s">
        <v>122</v>
      </c>
      <c r="P29" s="41">
        <f t="shared" si="5"/>
        <v>11318.678997499999</v>
      </c>
      <c r="Q29" s="41">
        <v>349.42</v>
      </c>
      <c r="R29" s="41">
        <v>36.412478</v>
      </c>
      <c r="S29" s="40">
        <v>0</v>
      </c>
      <c r="V29" s="51">
        <f t="shared" si="6"/>
        <v>2.6665361666839089E-5</v>
      </c>
      <c r="W29" s="41">
        <v>1.26E-4</v>
      </c>
      <c r="X29" s="41">
        <f t="shared" si="7"/>
        <v>0.21162985449872293</v>
      </c>
      <c r="Y29" s="60" t="s">
        <v>122</v>
      </c>
      <c r="Z29" s="41">
        <f t="shared" si="8"/>
        <v>11327.782117000001</v>
      </c>
      <c r="AA29" s="41">
        <v>349.42</v>
      </c>
      <c r="AB29" s="41">
        <v>36.412478</v>
      </c>
      <c r="AC29" s="40">
        <v>0</v>
      </c>
      <c r="AF29" s="51">
        <f t="shared" si="9"/>
        <v>6.8463493323300199E-6</v>
      </c>
      <c r="AG29" s="41">
        <v>1.26E-4</v>
      </c>
      <c r="AH29" s="41">
        <f t="shared" si="10"/>
        <v>5.4336105812143015E-2</v>
      </c>
      <c r="AI29" s="60" t="s">
        <v>122</v>
      </c>
      <c r="AJ29" s="41">
        <f t="shared" si="11"/>
        <v>11336.8852365</v>
      </c>
      <c r="AK29" s="41">
        <v>349.42</v>
      </c>
      <c r="AL29" s="41">
        <v>36.412478</v>
      </c>
      <c r="AM29" s="40">
        <v>0</v>
      </c>
      <c r="AP29" s="51">
        <f t="shared" si="12"/>
        <v>-1.3145119881569812E-5</v>
      </c>
      <c r="AQ29" s="41">
        <v>1.26E-4</v>
      </c>
      <c r="AR29" s="41">
        <f t="shared" si="13"/>
        <v>-0.10432634826642707</v>
      </c>
      <c r="AS29" s="60" t="s">
        <v>122</v>
      </c>
      <c r="AT29" s="41">
        <f t="shared" si="14"/>
        <v>11345.988356</v>
      </c>
      <c r="AU29" s="41">
        <v>349.42</v>
      </c>
      <c r="AV29" s="41">
        <v>36.412478</v>
      </c>
      <c r="AW29" s="40">
        <v>0</v>
      </c>
    </row>
    <row r="30" spans="2:49" x14ac:dyDescent="0.15">
      <c r="B30" s="51">
        <f t="shared" si="0"/>
        <v>2.8955773041248052E-5</v>
      </c>
      <c r="C30" s="41">
        <v>1.1E-4</v>
      </c>
      <c r="D30" s="41">
        <f t="shared" si="1"/>
        <v>0.2632343003749823</v>
      </c>
      <c r="E30" s="60" t="s">
        <v>70</v>
      </c>
      <c r="F30" s="41">
        <f t="shared" si="2"/>
        <v>5564.7379389999996</v>
      </c>
      <c r="G30" s="41">
        <v>84.66</v>
      </c>
      <c r="H30" s="41">
        <v>18.206239</v>
      </c>
      <c r="I30" s="40">
        <v>0</v>
      </c>
      <c r="L30" s="51">
        <f t="shared" si="3"/>
        <v>2.0443137759374587E-5</v>
      </c>
      <c r="M30" s="41">
        <v>1.1E-4</v>
      </c>
      <c r="N30" s="41">
        <f t="shared" si="4"/>
        <v>0.18584670690340532</v>
      </c>
      <c r="O30" s="60" t="s">
        <v>70</v>
      </c>
      <c r="P30" s="41">
        <f t="shared" si="5"/>
        <v>5569.2894987499994</v>
      </c>
      <c r="Q30" s="41">
        <v>84.66</v>
      </c>
      <c r="R30" s="41">
        <v>18.206239</v>
      </c>
      <c r="S30" s="40">
        <v>0</v>
      </c>
      <c r="V30" s="51">
        <f t="shared" si="6"/>
        <v>1.1801560482833521E-5</v>
      </c>
      <c r="W30" s="41">
        <v>1.1E-4</v>
      </c>
      <c r="X30" s="41">
        <f t="shared" si="7"/>
        <v>0.10728691348030474</v>
      </c>
      <c r="Y30" s="60" t="s">
        <v>70</v>
      </c>
      <c r="Z30" s="41">
        <f t="shared" si="8"/>
        <v>5573.8410585000001</v>
      </c>
      <c r="AA30" s="41">
        <v>84.66</v>
      </c>
      <c r="AB30" s="41">
        <v>18.206239</v>
      </c>
      <c r="AC30" s="40">
        <v>0</v>
      </c>
      <c r="AF30" s="51">
        <f t="shared" si="9"/>
        <v>3.0855466512631633E-6</v>
      </c>
      <c r="AG30" s="41">
        <v>1.1E-4</v>
      </c>
      <c r="AH30" s="41">
        <f t="shared" si="10"/>
        <v>2.8050424102392394E-2</v>
      </c>
      <c r="AI30" s="60" t="s">
        <v>70</v>
      </c>
      <c r="AJ30" s="41">
        <f t="shared" si="11"/>
        <v>5578.3926182499999</v>
      </c>
      <c r="AK30" s="41">
        <v>84.66</v>
      </c>
      <c r="AL30" s="41">
        <v>18.206239</v>
      </c>
      <c r="AM30" s="40">
        <v>0</v>
      </c>
      <c r="AP30" s="51">
        <f t="shared" si="12"/>
        <v>-5.649928798409263E-6</v>
      </c>
      <c r="AQ30" s="41">
        <v>1.1E-4</v>
      </c>
      <c r="AR30" s="41">
        <f t="shared" si="13"/>
        <v>-5.1362989076447846E-2</v>
      </c>
      <c r="AS30" s="60" t="s">
        <v>70</v>
      </c>
      <c r="AT30" s="41">
        <f t="shared" si="14"/>
        <v>5582.9441779999997</v>
      </c>
      <c r="AU30" s="41">
        <v>84.66</v>
      </c>
      <c r="AV30" s="41">
        <v>18.206239</v>
      </c>
      <c r="AW30" s="40">
        <v>0</v>
      </c>
    </row>
    <row r="31" spans="2:49" x14ac:dyDescent="0.15">
      <c r="B31" s="51">
        <f t="shared" si="0"/>
        <v>-1.4815270068086456E-5</v>
      </c>
      <c r="C31" s="41">
        <v>6.2000000000000003E-5</v>
      </c>
      <c r="D31" s="41">
        <f t="shared" si="1"/>
        <v>-0.23895596884010412</v>
      </c>
      <c r="E31" s="60" t="s">
        <v>121</v>
      </c>
      <c r="F31" s="41">
        <f t="shared" si="2"/>
        <v>16186.175071</v>
      </c>
      <c r="G31" s="41">
        <v>141.74</v>
      </c>
      <c r="H31" s="41">
        <v>53.303770999999998</v>
      </c>
      <c r="I31" s="40">
        <v>0</v>
      </c>
      <c r="L31" s="51">
        <f t="shared" si="3"/>
        <v>-5.3994825951800993E-7</v>
      </c>
      <c r="M31" s="41">
        <v>6.2000000000000003E-5</v>
      </c>
      <c r="N31" s="41">
        <f t="shared" si="4"/>
        <v>-8.7088428954517731E-3</v>
      </c>
      <c r="O31" s="60" t="s">
        <v>121</v>
      </c>
      <c r="P31" s="41">
        <f t="shared" si="5"/>
        <v>16199.501013749999</v>
      </c>
      <c r="Q31" s="41">
        <v>141.74</v>
      </c>
      <c r="R31" s="41">
        <v>53.303770999999998</v>
      </c>
      <c r="S31" s="40">
        <v>0</v>
      </c>
      <c r="V31" s="51">
        <f t="shared" si="6"/>
        <v>1.3764450184385874E-5</v>
      </c>
      <c r="W31" s="41">
        <v>6.2000000000000003E-5</v>
      </c>
      <c r="X31" s="41">
        <f t="shared" si="7"/>
        <v>0.22200726103848184</v>
      </c>
      <c r="Y31" s="60" t="s">
        <v>121</v>
      </c>
      <c r="Z31" s="41">
        <f t="shared" si="8"/>
        <v>16212.826956499999</v>
      </c>
      <c r="AA31" s="41">
        <v>141.74</v>
      </c>
      <c r="AB31" s="41">
        <v>53.303770999999998</v>
      </c>
      <c r="AC31" s="40">
        <v>0</v>
      </c>
      <c r="AF31" s="51">
        <f t="shared" si="9"/>
        <v>2.7327622239373431E-5</v>
      </c>
      <c r="AG31" s="41">
        <v>6.2000000000000003E-5</v>
      </c>
      <c r="AH31" s="41">
        <f t="shared" si="10"/>
        <v>0.44076810063505534</v>
      </c>
      <c r="AI31" s="60" t="s">
        <v>121</v>
      </c>
      <c r="AJ31" s="41">
        <f t="shared" si="11"/>
        <v>16226.152899249999</v>
      </c>
      <c r="AK31" s="41">
        <v>141.74</v>
      </c>
      <c r="AL31" s="41">
        <v>53.303770999999998</v>
      </c>
      <c r="AM31" s="40">
        <v>0</v>
      </c>
      <c r="AP31" s="51">
        <f t="shared" si="12"/>
        <v>3.9419180500945486E-5</v>
      </c>
      <c r="AQ31" s="41">
        <v>6.2000000000000003E-5</v>
      </c>
      <c r="AR31" s="41">
        <f t="shared" si="13"/>
        <v>0.63579323388621745</v>
      </c>
      <c r="AS31" s="60" t="s">
        <v>121</v>
      </c>
      <c r="AT31" s="41">
        <f t="shared" si="14"/>
        <v>16239.478841999999</v>
      </c>
      <c r="AU31" s="41">
        <v>141.74</v>
      </c>
      <c r="AV31" s="41">
        <v>53.303770999999998</v>
      </c>
      <c r="AW31" s="40">
        <v>0</v>
      </c>
    </row>
    <row r="32" spans="2:49" x14ac:dyDescent="0.15">
      <c r="B32" s="51">
        <f t="shared" si="0"/>
        <v>-4.2951313601485399E-5</v>
      </c>
      <c r="C32" s="41">
        <v>6.0000000000000002E-5</v>
      </c>
      <c r="D32" s="41">
        <f t="shared" si="1"/>
        <v>-0.71585522669142332</v>
      </c>
      <c r="E32" s="60" t="s">
        <v>67</v>
      </c>
      <c r="F32" s="41">
        <f t="shared" si="2"/>
        <v>945.71333200000004</v>
      </c>
      <c r="G32" s="41">
        <v>207.14</v>
      </c>
      <c r="H32" s="41">
        <v>2.453732</v>
      </c>
      <c r="I32" s="40">
        <v>0</v>
      </c>
      <c r="L32" s="51">
        <f t="shared" si="3"/>
        <v>-4.3397388240678726E-5</v>
      </c>
      <c r="M32" s="41">
        <v>6.0000000000000002E-5</v>
      </c>
      <c r="N32" s="41">
        <f t="shared" si="4"/>
        <v>-0.72328980401131204</v>
      </c>
      <c r="O32" s="60" t="s">
        <v>67</v>
      </c>
      <c r="P32" s="41">
        <f t="shared" si="5"/>
        <v>946.32676500000002</v>
      </c>
      <c r="Q32" s="41">
        <v>207.14</v>
      </c>
      <c r="R32" s="41">
        <v>2.453732</v>
      </c>
      <c r="S32" s="40">
        <v>0</v>
      </c>
      <c r="V32" s="51">
        <f t="shared" si="6"/>
        <v>-4.3838488391146287E-5</v>
      </c>
      <c r="W32" s="41">
        <v>6.0000000000000002E-5</v>
      </c>
      <c r="X32" s="41">
        <f t="shared" si="7"/>
        <v>-0.73064147318577144</v>
      </c>
      <c r="Y32" s="60" t="s">
        <v>67</v>
      </c>
      <c r="Z32" s="41">
        <f t="shared" si="8"/>
        <v>946.94019800000001</v>
      </c>
      <c r="AA32" s="41">
        <v>207.14</v>
      </c>
      <c r="AB32" s="41">
        <v>2.453732</v>
      </c>
      <c r="AC32" s="40">
        <v>0</v>
      </c>
      <c r="AF32" s="51">
        <f t="shared" si="9"/>
        <v>-4.4274563491142158E-5</v>
      </c>
      <c r="AG32" s="41">
        <v>6.0000000000000002E-5</v>
      </c>
      <c r="AH32" s="41">
        <f t="shared" si="10"/>
        <v>-0.7379093915190359</v>
      </c>
      <c r="AI32" s="60" t="s">
        <v>67</v>
      </c>
      <c r="AJ32" s="41">
        <f t="shared" si="11"/>
        <v>947.553631</v>
      </c>
      <c r="AK32" s="41">
        <v>207.14</v>
      </c>
      <c r="AL32" s="41">
        <v>2.453732</v>
      </c>
      <c r="AM32" s="40">
        <v>0</v>
      </c>
      <c r="AP32" s="51">
        <f t="shared" si="12"/>
        <v>-4.4705563554924087E-5</v>
      </c>
      <c r="AQ32" s="41">
        <v>6.0000000000000002E-5</v>
      </c>
      <c r="AR32" s="41">
        <f t="shared" si="13"/>
        <v>-0.74509272591540143</v>
      </c>
      <c r="AS32" s="60" t="s">
        <v>67</v>
      </c>
      <c r="AT32" s="41">
        <f t="shared" si="14"/>
        <v>948.16706399999998</v>
      </c>
      <c r="AU32" s="41">
        <v>207.14</v>
      </c>
      <c r="AV32" s="41">
        <v>2.453732</v>
      </c>
      <c r="AW32" s="40">
        <v>0</v>
      </c>
    </row>
    <row r="33" spans="2:50" x14ac:dyDescent="0.15">
      <c r="B33" s="51">
        <f t="shared" si="0"/>
        <v>-1.3741818510601207E-5</v>
      </c>
      <c r="C33" s="41">
        <v>5.5999999999999999E-5</v>
      </c>
      <c r="D33" s="41">
        <f t="shared" si="1"/>
        <v>-0.24538961626073585</v>
      </c>
      <c r="E33" s="60" t="s">
        <v>120</v>
      </c>
      <c r="F33" s="41">
        <f t="shared" si="2"/>
        <v>2354.2048600000003</v>
      </c>
      <c r="G33" s="41">
        <v>154.84</v>
      </c>
      <c r="H33" s="41">
        <v>7.3068600000000004</v>
      </c>
      <c r="I33" s="40">
        <v>0</v>
      </c>
      <c r="L33" s="51">
        <f t="shared" si="3"/>
        <v>-1.5465354992806399E-5</v>
      </c>
      <c r="M33" s="41">
        <v>5.5999999999999999E-5</v>
      </c>
      <c r="N33" s="41">
        <f t="shared" si="4"/>
        <v>-0.27616705344297143</v>
      </c>
      <c r="O33" s="60" t="s">
        <v>120</v>
      </c>
      <c r="P33" s="41">
        <f t="shared" si="5"/>
        <v>2356.0315750000004</v>
      </c>
      <c r="Q33" s="41">
        <v>154.84</v>
      </c>
      <c r="R33" s="41">
        <v>7.3068600000000004</v>
      </c>
      <c r="S33" s="40">
        <v>0</v>
      </c>
      <c r="V33" s="51">
        <f t="shared" si="6"/>
        <v>-1.7173172673473403E-5</v>
      </c>
      <c r="W33" s="41">
        <v>5.5999999999999999E-5</v>
      </c>
      <c r="X33" s="41">
        <f t="shared" si="7"/>
        <v>-0.30666379774059649</v>
      </c>
      <c r="Y33" s="60" t="s">
        <v>120</v>
      </c>
      <c r="Z33" s="41">
        <f t="shared" si="8"/>
        <v>2357.8582900000001</v>
      </c>
      <c r="AA33" s="41">
        <v>154.84</v>
      </c>
      <c r="AB33" s="41">
        <v>7.3068600000000004</v>
      </c>
      <c r="AC33" s="40">
        <v>0</v>
      </c>
      <c r="AF33" s="51">
        <f t="shared" si="9"/>
        <v>-1.8863535747171794E-5</v>
      </c>
      <c r="AG33" s="41">
        <v>5.5999999999999999E-5</v>
      </c>
      <c r="AH33" s="41">
        <f t="shared" si="10"/>
        <v>-0.33684885262806774</v>
      </c>
      <c r="AI33" s="60" t="s">
        <v>120</v>
      </c>
      <c r="AJ33" s="41">
        <f t="shared" si="11"/>
        <v>2359.6850050000003</v>
      </c>
      <c r="AK33" s="41">
        <v>154.84</v>
      </c>
      <c r="AL33" s="41">
        <v>7.3068600000000004</v>
      </c>
      <c r="AM33" s="40">
        <v>0</v>
      </c>
      <c r="AP33" s="51">
        <f t="shared" si="12"/>
        <v>-2.0534726149123796E-5</v>
      </c>
      <c r="AQ33" s="41">
        <v>5.5999999999999999E-5</v>
      </c>
      <c r="AR33" s="41">
        <f t="shared" si="13"/>
        <v>-0.36669153837721064</v>
      </c>
      <c r="AS33" s="60" t="s">
        <v>120</v>
      </c>
      <c r="AT33" s="41">
        <f t="shared" si="14"/>
        <v>2361.5117200000004</v>
      </c>
      <c r="AU33" s="41">
        <v>154.84</v>
      </c>
      <c r="AV33" s="41">
        <v>7.3068600000000004</v>
      </c>
      <c r="AW33" s="40">
        <v>0</v>
      </c>
    </row>
    <row r="34" spans="2:50" x14ac:dyDescent="0.15">
      <c r="B34" s="51">
        <f t="shared" si="0"/>
        <v>-3.0114804819102567E-5</v>
      </c>
      <c r="C34" s="41">
        <v>4.6999999999999997E-5</v>
      </c>
      <c r="D34" s="41">
        <f t="shared" si="1"/>
        <v>-0.64074052806601212</v>
      </c>
      <c r="E34" s="60" t="s">
        <v>119</v>
      </c>
      <c r="F34" s="41">
        <f t="shared" si="2"/>
        <v>8240.1529389999996</v>
      </c>
      <c r="G34" s="41">
        <v>34.520000000000003</v>
      </c>
      <c r="H34" s="41">
        <v>27.261239</v>
      </c>
      <c r="I34" s="40">
        <v>0</v>
      </c>
      <c r="L34" s="51">
        <f t="shared" si="3"/>
        <v>-2.5619874477012673E-5</v>
      </c>
      <c r="M34" s="41">
        <v>4.6999999999999997E-5</v>
      </c>
      <c r="N34" s="41">
        <f t="shared" si="4"/>
        <v>-0.54510371227686538</v>
      </c>
      <c r="O34" s="60" t="s">
        <v>119</v>
      </c>
      <c r="P34" s="41">
        <f t="shared" si="5"/>
        <v>8246.9682487499995</v>
      </c>
      <c r="Q34" s="41">
        <v>34.520000000000003</v>
      </c>
      <c r="R34" s="41">
        <v>27.261239</v>
      </c>
      <c r="S34" s="40">
        <v>0</v>
      </c>
      <c r="V34" s="51">
        <f t="shared" si="6"/>
        <v>-2.0762875586673507E-5</v>
      </c>
      <c r="W34" s="41">
        <v>4.6999999999999997E-5</v>
      </c>
      <c r="X34" s="41">
        <f t="shared" si="7"/>
        <v>-0.44176331035475547</v>
      </c>
      <c r="Y34" s="60" t="s">
        <v>119</v>
      </c>
      <c r="Z34" s="41">
        <f t="shared" si="8"/>
        <v>8253.7835585000012</v>
      </c>
      <c r="AA34" s="41">
        <v>34.520000000000003</v>
      </c>
      <c r="AB34" s="41">
        <v>27.261239</v>
      </c>
      <c r="AC34" s="40">
        <v>0</v>
      </c>
      <c r="AF34" s="51">
        <f t="shared" si="9"/>
        <v>-1.5612448864443955E-5</v>
      </c>
      <c r="AG34" s="41">
        <v>4.6999999999999997E-5</v>
      </c>
      <c r="AH34" s="41">
        <f t="shared" si="10"/>
        <v>-0.33217976307327568</v>
      </c>
      <c r="AI34" s="60" t="s">
        <v>119</v>
      </c>
      <c r="AJ34" s="41">
        <f t="shared" si="11"/>
        <v>8260.598868250001</v>
      </c>
      <c r="AK34" s="41">
        <v>34.520000000000003</v>
      </c>
      <c r="AL34" s="41">
        <v>27.261239</v>
      </c>
      <c r="AM34" s="40">
        <v>0</v>
      </c>
      <c r="AP34" s="51">
        <f t="shared" si="12"/>
        <v>-1.0241381845946817E-5</v>
      </c>
      <c r="AQ34" s="41">
        <v>4.6999999999999997E-5</v>
      </c>
      <c r="AR34" s="41">
        <f t="shared" si="13"/>
        <v>-0.21790174140312377</v>
      </c>
      <c r="AS34" s="60" t="s">
        <v>119</v>
      </c>
      <c r="AT34" s="41">
        <f t="shared" si="14"/>
        <v>8267.4141780000009</v>
      </c>
      <c r="AU34" s="41">
        <v>34.520000000000003</v>
      </c>
      <c r="AV34" s="41">
        <v>27.261239</v>
      </c>
      <c r="AW34" s="40">
        <v>0</v>
      </c>
    </row>
    <row r="35" spans="2:50" x14ac:dyDescent="0.15">
      <c r="B35" s="51">
        <f t="shared" si="0"/>
        <v>-3.7703934094976777E-5</v>
      </c>
      <c r="C35" s="41">
        <v>4.1999999999999998E-5</v>
      </c>
      <c r="D35" s="41">
        <f t="shared" si="1"/>
        <v>-0.89771271654706619</v>
      </c>
      <c r="E35" s="60" t="s">
        <v>118</v>
      </c>
      <c r="F35" s="41">
        <f t="shared" si="2"/>
        <v>243.85902400000001</v>
      </c>
      <c r="G35" s="41">
        <v>207.19</v>
      </c>
      <c r="H35" s="41">
        <v>0.121824</v>
      </c>
      <c r="I35" s="40">
        <v>0</v>
      </c>
      <c r="L35" s="51">
        <f t="shared" si="3"/>
        <v>-3.771376492767999E-5</v>
      </c>
      <c r="M35" s="41">
        <v>4.1999999999999998E-5</v>
      </c>
      <c r="N35" s="41">
        <f t="shared" si="4"/>
        <v>-0.89794678399238081</v>
      </c>
      <c r="O35" s="60" t="s">
        <v>118</v>
      </c>
      <c r="P35" s="41">
        <f t="shared" si="5"/>
        <v>243.88947999999999</v>
      </c>
      <c r="Q35" s="41">
        <v>207.19</v>
      </c>
      <c r="R35" s="41">
        <v>0.121824</v>
      </c>
      <c r="S35" s="40">
        <v>0</v>
      </c>
      <c r="V35" s="51">
        <f t="shared" si="6"/>
        <v>-3.7723585104232803E-5</v>
      </c>
      <c r="W35" s="41">
        <v>4.1999999999999998E-5</v>
      </c>
      <c r="X35" s="41">
        <f t="shared" si="7"/>
        <v>-0.89818059771982872</v>
      </c>
      <c r="Y35" s="60" t="s">
        <v>118</v>
      </c>
      <c r="Z35" s="41">
        <f t="shared" si="8"/>
        <v>243.91993600000001</v>
      </c>
      <c r="AA35" s="41">
        <v>207.19</v>
      </c>
      <c r="AB35" s="41">
        <v>0.121824</v>
      </c>
      <c r="AC35" s="40">
        <v>0</v>
      </c>
      <c r="AF35" s="51">
        <f t="shared" si="9"/>
        <v>-3.773339462186047E-5</v>
      </c>
      <c r="AG35" s="41">
        <v>4.1999999999999998E-5</v>
      </c>
      <c r="AH35" s="41">
        <f t="shared" si="10"/>
        <v>-0.89841415766334454</v>
      </c>
      <c r="AI35" s="60" t="s">
        <v>118</v>
      </c>
      <c r="AJ35" s="41">
        <f t="shared" si="11"/>
        <v>243.95039199999999</v>
      </c>
      <c r="AK35" s="41">
        <v>207.19</v>
      </c>
      <c r="AL35" s="41">
        <v>0.121824</v>
      </c>
      <c r="AM35" s="40">
        <v>0</v>
      </c>
      <c r="AP35" s="51">
        <f t="shared" si="12"/>
        <v>-3.7743193477791278E-5</v>
      </c>
      <c r="AQ35" s="41">
        <v>4.1999999999999998E-5</v>
      </c>
      <c r="AR35" s="41">
        <f t="shared" si="13"/>
        <v>-0.89864746375693527</v>
      </c>
      <c r="AS35" s="60" t="s">
        <v>118</v>
      </c>
      <c r="AT35" s="41">
        <f t="shared" si="14"/>
        <v>243.98084800000001</v>
      </c>
      <c r="AU35" s="41">
        <v>207.19</v>
      </c>
      <c r="AV35" s="41">
        <v>0.121824</v>
      </c>
      <c r="AW35" s="40">
        <v>0</v>
      </c>
    </row>
    <row r="36" spans="2:50" x14ac:dyDescent="0.15">
      <c r="B36" s="51">
        <f t="shared" si="0"/>
        <v>3.2155072129996806E-5</v>
      </c>
      <c r="C36" s="41">
        <v>4.0000000000000003E-5</v>
      </c>
      <c r="D36" s="41">
        <f t="shared" si="1"/>
        <v>0.80387680324992017</v>
      </c>
      <c r="E36" s="60" t="s">
        <v>117</v>
      </c>
      <c r="F36" s="41">
        <f t="shared" si="2"/>
        <v>846.49807899999996</v>
      </c>
      <c r="G36" s="41">
        <v>291.33999999999997</v>
      </c>
      <c r="H36" s="41">
        <v>1.844379</v>
      </c>
      <c r="I36" s="40">
        <v>0</v>
      </c>
      <c r="L36" s="51">
        <f t="shared" si="3"/>
        <v>3.1962565282179765E-5</v>
      </c>
      <c r="M36" s="41">
        <v>4.0000000000000003E-5</v>
      </c>
      <c r="N36" s="41">
        <f t="shared" si="4"/>
        <v>0.799064132054494</v>
      </c>
      <c r="O36" s="60" t="s">
        <v>117</v>
      </c>
      <c r="P36" s="41">
        <f t="shared" si="5"/>
        <v>846.95917374999999</v>
      </c>
      <c r="Q36" s="41">
        <v>291.33999999999997</v>
      </c>
      <c r="R36" s="41">
        <v>1.844379</v>
      </c>
      <c r="S36" s="40">
        <v>0</v>
      </c>
      <c r="V36" s="51">
        <f t="shared" si="6"/>
        <v>3.1767988415160567E-5</v>
      </c>
      <c r="W36" s="41">
        <v>4.0000000000000003E-5</v>
      </c>
      <c r="X36" s="41">
        <f t="shared" si="7"/>
        <v>0.79419971037901416</v>
      </c>
      <c r="Y36" s="60" t="s">
        <v>117</v>
      </c>
      <c r="Z36" s="41">
        <f t="shared" si="8"/>
        <v>847.42026850000002</v>
      </c>
      <c r="AA36" s="41">
        <v>291.33999999999997</v>
      </c>
      <c r="AB36" s="41">
        <v>1.844379</v>
      </c>
      <c r="AC36" s="40">
        <v>0</v>
      </c>
      <c r="AF36" s="51">
        <f t="shared" si="9"/>
        <v>3.1571354130488761E-5</v>
      </c>
      <c r="AG36" s="41">
        <v>4.0000000000000003E-5</v>
      </c>
      <c r="AH36" s="41">
        <f t="shared" si="10"/>
        <v>0.78928385326221895</v>
      </c>
      <c r="AI36" s="60" t="s">
        <v>117</v>
      </c>
      <c r="AJ36" s="41">
        <f t="shared" si="11"/>
        <v>847.88136325000005</v>
      </c>
      <c r="AK36" s="41">
        <v>291.33999999999997</v>
      </c>
      <c r="AL36" s="41">
        <v>1.844379</v>
      </c>
      <c r="AM36" s="40">
        <v>0</v>
      </c>
      <c r="AP36" s="51">
        <f t="shared" si="12"/>
        <v>3.1372675162960232E-5</v>
      </c>
      <c r="AQ36" s="41">
        <v>4.0000000000000003E-5</v>
      </c>
      <c r="AR36" s="41">
        <f t="shared" si="13"/>
        <v>0.78431687907400571</v>
      </c>
      <c r="AS36" s="60" t="s">
        <v>117</v>
      </c>
      <c r="AT36" s="41">
        <f t="shared" si="14"/>
        <v>848.34245800000008</v>
      </c>
      <c r="AU36" s="41">
        <v>291.33999999999997</v>
      </c>
      <c r="AV36" s="41">
        <v>1.844379</v>
      </c>
      <c r="AW36" s="40">
        <v>0</v>
      </c>
    </row>
    <row r="37" spans="2:50" x14ac:dyDescent="0.15">
      <c r="B37" s="51">
        <f t="shared" si="0"/>
        <v>-3.363214708121291E-5</v>
      </c>
      <c r="C37" s="41">
        <v>3.6999999999999998E-5</v>
      </c>
      <c r="D37" s="41">
        <f t="shared" si="1"/>
        <v>-0.90897694814088947</v>
      </c>
      <c r="E37" s="60" t="s">
        <v>116</v>
      </c>
      <c r="F37" s="41">
        <f t="shared" si="2"/>
        <v>7445.3643540000003</v>
      </c>
      <c r="G37" s="41">
        <v>161.72</v>
      </c>
      <c r="H37" s="41">
        <v>24.198153999999999</v>
      </c>
      <c r="I37" s="40">
        <v>0</v>
      </c>
      <c r="L37" s="51">
        <f t="shared" si="3"/>
        <v>-3.5070291646270998E-5</v>
      </c>
      <c r="M37" s="41">
        <v>3.6999999999999998E-5</v>
      </c>
      <c r="N37" s="41">
        <f t="shared" si="4"/>
        <v>-0.94784572016948654</v>
      </c>
      <c r="O37" s="60" t="s">
        <v>116</v>
      </c>
      <c r="P37" s="41">
        <f t="shared" si="5"/>
        <v>7451.4138924999997</v>
      </c>
      <c r="Q37" s="41">
        <v>161.72</v>
      </c>
      <c r="R37" s="41">
        <v>24.198153999999999</v>
      </c>
      <c r="S37" s="40">
        <v>0</v>
      </c>
      <c r="V37" s="51">
        <f t="shared" si="6"/>
        <v>-3.6117833634997418E-5</v>
      </c>
      <c r="W37" s="41">
        <v>3.6999999999999998E-5</v>
      </c>
      <c r="X37" s="41">
        <f t="shared" si="7"/>
        <v>-0.97615766581074104</v>
      </c>
      <c r="Y37" s="60" t="s">
        <v>116</v>
      </c>
      <c r="Z37" s="41">
        <f t="shared" si="8"/>
        <v>7457.4634310000001</v>
      </c>
      <c r="AA37" s="41">
        <v>161.72</v>
      </c>
      <c r="AB37" s="41">
        <v>24.198153999999999</v>
      </c>
      <c r="AC37" s="40">
        <v>0</v>
      </c>
      <c r="AF37" s="51">
        <f t="shared" si="9"/>
        <v>-3.6763105833335904E-5</v>
      </c>
      <c r="AG37" s="41">
        <v>3.6999999999999998E-5</v>
      </c>
      <c r="AH37" s="41">
        <f t="shared" si="10"/>
        <v>-0.99359745495502449</v>
      </c>
      <c r="AI37" s="60" t="s">
        <v>116</v>
      </c>
      <c r="AJ37" s="41">
        <f t="shared" si="11"/>
        <v>7463.5129694999996</v>
      </c>
      <c r="AK37" s="41">
        <v>161.72</v>
      </c>
      <c r="AL37" s="41">
        <v>24.198153999999999</v>
      </c>
      <c r="AM37" s="40">
        <v>0</v>
      </c>
      <c r="AP37" s="51">
        <f t="shared" si="12"/>
        <v>-3.6998921389645063E-5</v>
      </c>
      <c r="AQ37" s="41">
        <v>3.6999999999999998E-5</v>
      </c>
      <c r="AR37" s="41">
        <f t="shared" si="13"/>
        <v>-0.99997084836878558</v>
      </c>
      <c r="AS37" s="60" t="s">
        <v>116</v>
      </c>
      <c r="AT37" s="41">
        <f t="shared" si="14"/>
        <v>7469.562508</v>
      </c>
      <c r="AU37" s="41">
        <v>161.72</v>
      </c>
      <c r="AV37" s="41">
        <v>24.198153999999999</v>
      </c>
      <c r="AW37" s="40">
        <v>0</v>
      </c>
    </row>
    <row r="38" spans="2:50" x14ac:dyDescent="0.15">
      <c r="B38" s="51">
        <f t="shared" si="0"/>
        <v>-6.0912467318722102E-7</v>
      </c>
      <c r="C38" s="41">
        <v>3.4999999999999997E-5</v>
      </c>
      <c r="D38" s="41">
        <f t="shared" si="1"/>
        <v>-1.740356209106346E-2</v>
      </c>
      <c r="E38" s="60" t="s">
        <v>115</v>
      </c>
      <c r="F38" s="41">
        <f t="shared" si="2"/>
        <v>7919.0027990000008</v>
      </c>
      <c r="G38" s="41">
        <v>239.56</v>
      </c>
      <c r="H38" s="41">
        <v>25.513099</v>
      </c>
      <c r="I38" s="40">
        <v>0</v>
      </c>
      <c r="L38" s="51">
        <f t="shared" si="3"/>
        <v>3.2822807082925243E-6</v>
      </c>
      <c r="M38" s="41">
        <v>3.4999999999999997E-5</v>
      </c>
      <c r="N38" s="41">
        <f t="shared" si="4"/>
        <v>9.377944880835784E-2</v>
      </c>
      <c r="O38" s="60" t="s">
        <v>115</v>
      </c>
      <c r="P38" s="41">
        <f t="shared" si="5"/>
        <v>7925.3810737500007</v>
      </c>
      <c r="Q38" s="41">
        <v>239.56</v>
      </c>
      <c r="R38" s="41">
        <v>25.513099</v>
      </c>
      <c r="S38" s="40">
        <v>0</v>
      </c>
      <c r="V38" s="51">
        <f t="shared" si="6"/>
        <v>7.1330522042189142E-6</v>
      </c>
      <c r="W38" s="41">
        <v>3.4999999999999997E-5</v>
      </c>
      <c r="X38" s="41">
        <f t="shared" si="7"/>
        <v>0.20380149154911184</v>
      </c>
      <c r="Y38" s="60" t="s">
        <v>115</v>
      </c>
      <c r="Z38" s="41">
        <f t="shared" si="8"/>
        <v>7931.7593485000007</v>
      </c>
      <c r="AA38" s="41">
        <v>239.56</v>
      </c>
      <c r="AB38" s="41">
        <v>25.513099</v>
      </c>
      <c r="AC38" s="40">
        <v>0</v>
      </c>
      <c r="AF38" s="51">
        <f t="shared" si="9"/>
        <v>1.0895518142921001E-5</v>
      </c>
      <c r="AG38" s="41">
        <v>3.4999999999999997E-5</v>
      </c>
      <c r="AH38" s="41">
        <f t="shared" si="10"/>
        <v>0.3113005183691715</v>
      </c>
      <c r="AI38" s="60" t="s">
        <v>115</v>
      </c>
      <c r="AJ38" s="41">
        <f t="shared" si="11"/>
        <v>7938.1376232500006</v>
      </c>
      <c r="AK38" s="41">
        <v>239.56</v>
      </c>
      <c r="AL38" s="41">
        <v>25.513099</v>
      </c>
      <c r="AM38" s="40">
        <v>0</v>
      </c>
      <c r="AP38" s="51">
        <f t="shared" si="12"/>
        <v>1.4523100055358839E-5</v>
      </c>
      <c r="AQ38" s="41">
        <v>3.4999999999999997E-5</v>
      </c>
      <c r="AR38" s="41">
        <f t="shared" si="13"/>
        <v>0.41494571586739543</v>
      </c>
      <c r="AS38" s="60" t="s">
        <v>115</v>
      </c>
      <c r="AT38" s="41">
        <f t="shared" si="14"/>
        <v>7944.5158980000006</v>
      </c>
      <c r="AU38" s="41">
        <v>239.56</v>
      </c>
      <c r="AV38" s="41">
        <v>25.513099</v>
      </c>
      <c r="AW38" s="40">
        <v>0</v>
      </c>
    </row>
    <row r="39" spans="2:50" x14ac:dyDescent="0.15">
      <c r="B39" s="49">
        <f t="shared" si="0"/>
        <v>-1.0478276871154061E-5</v>
      </c>
      <c r="C39" s="39">
        <v>2.3E-5</v>
      </c>
      <c r="D39" s="39">
        <f t="shared" si="1"/>
        <v>-0.45557725526756787</v>
      </c>
      <c r="E39" s="59" t="s">
        <v>114</v>
      </c>
      <c r="F39" s="39">
        <f t="shared" si="2"/>
        <v>1412.8979179999999</v>
      </c>
      <c r="G39" s="39">
        <v>331.55</v>
      </c>
      <c r="H39" s="39">
        <v>3.5925180000000001</v>
      </c>
      <c r="I39" s="38">
        <v>0</v>
      </c>
      <c r="L39" s="49">
        <f t="shared" si="3"/>
        <v>-1.0156058211750681E-5</v>
      </c>
      <c r="M39" s="39">
        <v>2.3E-5</v>
      </c>
      <c r="N39" s="39">
        <f t="shared" si="4"/>
        <v>-0.44156774833698609</v>
      </c>
      <c r="O39" s="59" t="s">
        <v>114</v>
      </c>
      <c r="P39" s="39">
        <f t="shared" si="5"/>
        <v>1413.7960475</v>
      </c>
      <c r="Q39" s="39">
        <v>331.55</v>
      </c>
      <c r="R39" s="39">
        <v>3.5925180000000001</v>
      </c>
      <c r="S39" s="38">
        <v>0</v>
      </c>
      <c r="V39" s="49">
        <f t="shared" si="6"/>
        <v>-9.8313441019204021E-6</v>
      </c>
      <c r="W39" s="39">
        <v>2.3E-5</v>
      </c>
      <c r="X39" s="39">
        <f t="shared" si="7"/>
        <v>-0.42744974356175663</v>
      </c>
      <c r="Y39" s="59" t="s">
        <v>114</v>
      </c>
      <c r="Z39" s="39">
        <f t="shared" si="8"/>
        <v>1414.6941770000001</v>
      </c>
      <c r="AA39" s="39">
        <v>331.55</v>
      </c>
      <c r="AB39" s="39">
        <v>3.5925180000000001</v>
      </c>
      <c r="AC39" s="38">
        <v>0</v>
      </c>
      <c r="AF39" s="49">
        <f t="shared" si="9"/>
        <v>-9.5042143273388652E-6</v>
      </c>
      <c r="AG39" s="39">
        <v>2.3E-5</v>
      </c>
      <c r="AH39" s="39">
        <f t="shared" si="10"/>
        <v>-0.41322670988429849</v>
      </c>
      <c r="AI39" s="59" t="s">
        <v>114</v>
      </c>
      <c r="AJ39" s="39">
        <f t="shared" si="11"/>
        <v>1415.5923064999999</v>
      </c>
      <c r="AK39" s="39">
        <v>331.55</v>
      </c>
      <c r="AL39" s="39">
        <v>3.5925180000000001</v>
      </c>
      <c r="AM39" s="38">
        <v>0</v>
      </c>
      <c r="AP39" s="49">
        <f t="shared" si="12"/>
        <v>-9.1747492672355248E-6</v>
      </c>
      <c r="AQ39" s="39">
        <v>2.3E-5</v>
      </c>
      <c r="AR39" s="39">
        <f t="shared" si="13"/>
        <v>-0.39890214205371843</v>
      </c>
      <c r="AS39" s="59" t="s">
        <v>114</v>
      </c>
      <c r="AT39" s="39">
        <f t="shared" si="14"/>
        <v>1416.490436</v>
      </c>
      <c r="AU39" s="39">
        <v>331.55</v>
      </c>
      <c r="AV39" s="39">
        <v>3.5925180000000001</v>
      </c>
      <c r="AW39" s="38">
        <v>0</v>
      </c>
    </row>
    <row r="40" spans="2:50" ht="15" x14ac:dyDescent="0.2">
      <c r="B40" s="47">
        <f>SUM(B26:B39)</f>
        <v>-3.8885329903811197E-4</v>
      </c>
      <c r="L40" s="47">
        <f>SUM(L26:L39)</f>
        <v>-3.7701252645482264E-4</v>
      </c>
      <c r="V40" s="47">
        <f>SUM(V26:V39)</f>
        <v>-3.6571989928186542E-4</v>
      </c>
      <c r="AF40" s="47">
        <f>SUM(AF26:AF39)</f>
        <v>-3.5556866825839687E-4</v>
      </c>
      <c r="AP40" s="58">
        <f>SUM(AP26:AP39)</f>
        <v>-3.4709849149455247E-4</v>
      </c>
    </row>
    <row r="42" spans="2:50" ht="15" x14ac:dyDescent="0.2">
      <c r="B42" s="218" t="s">
        <v>113</v>
      </c>
      <c r="C42" s="219"/>
      <c r="D42" s="218" t="s">
        <v>112</v>
      </c>
      <c r="E42" s="219"/>
      <c r="F42" s="32" t="s">
        <v>110</v>
      </c>
      <c r="G42" s="54" t="s">
        <v>47</v>
      </c>
      <c r="H42" s="54" t="s">
        <v>57</v>
      </c>
      <c r="I42" s="54" t="s">
        <v>55</v>
      </c>
      <c r="J42" s="53" t="s">
        <v>109</v>
      </c>
      <c r="L42" s="218" t="s">
        <v>113</v>
      </c>
      <c r="M42" s="219"/>
      <c r="N42" s="218" t="s">
        <v>112</v>
      </c>
      <c r="O42" s="219"/>
      <c r="P42" s="55" t="s">
        <v>110</v>
      </c>
      <c r="Q42" s="54" t="s">
        <v>47</v>
      </c>
      <c r="R42" s="54" t="s">
        <v>57</v>
      </c>
      <c r="S42" s="54" t="s">
        <v>55</v>
      </c>
      <c r="T42" s="53" t="s">
        <v>109</v>
      </c>
      <c r="V42" s="218" t="s">
        <v>113</v>
      </c>
      <c r="W42" s="219"/>
      <c r="X42" s="218" t="s">
        <v>112</v>
      </c>
      <c r="Y42" s="219"/>
      <c r="Z42" s="55" t="s">
        <v>110</v>
      </c>
      <c r="AA42" s="54" t="s">
        <v>47</v>
      </c>
      <c r="AB42" s="54" t="s">
        <v>57</v>
      </c>
      <c r="AC42" s="54" t="s">
        <v>55</v>
      </c>
      <c r="AD42" s="53" t="s">
        <v>109</v>
      </c>
      <c r="AF42" s="218" t="s">
        <v>113</v>
      </c>
      <c r="AG42" s="219"/>
      <c r="AH42" s="218" t="s">
        <v>112</v>
      </c>
      <c r="AI42" s="219"/>
      <c r="AJ42" s="55" t="s">
        <v>110</v>
      </c>
      <c r="AK42" s="54" t="s">
        <v>47</v>
      </c>
      <c r="AL42" s="54" t="s">
        <v>57</v>
      </c>
      <c r="AM42" s="54" t="s">
        <v>55</v>
      </c>
      <c r="AN42" s="53" t="s">
        <v>109</v>
      </c>
      <c r="AP42" s="218" t="s">
        <v>113</v>
      </c>
      <c r="AQ42" s="219"/>
      <c r="AR42" s="218" t="s">
        <v>112</v>
      </c>
      <c r="AS42" s="219"/>
      <c r="AT42" s="55" t="s">
        <v>110</v>
      </c>
      <c r="AU42" s="54" t="s">
        <v>47</v>
      </c>
      <c r="AV42" s="54" t="s">
        <v>57</v>
      </c>
      <c r="AW42" s="54" t="s">
        <v>55</v>
      </c>
      <c r="AX42" s="53" t="s">
        <v>109</v>
      </c>
    </row>
    <row r="43" spans="2:50" x14ac:dyDescent="0.15">
      <c r="B43" s="57">
        <v>-0.40720000000000001</v>
      </c>
      <c r="C43" s="42">
        <f t="shared" ref="C43:C67" si="15">B43*F43</f>
        <v>-0.3228909772901512</v>
      </c>
      <c r="D43" s="57">
        <v>-0.40614</v>
      </c>
      <c r="E43" s="43">
        <f t="shared" ref="E43:E67" si="16">D43*F43</f>
        <v>-0.32205044576773578</v>
      </c>
      <c r="F43" s="52">
        <f t="shared" ref="F43:F67" si="17">SIN($C$4*(G43*C$19+H43*C$20+I43*C$21+J43*C$22))</f>
        <v>0.79295426642964439</v>
      </c>
      <c r="G43" s="25">
        <v>0</v>
      </c>
      <c r="H43" s="25">
        <v>1</v>
      </c>
      <c r="I43" s="25">
        <v>0</v>
      </c>
      <c r="J43" s="27">
        <v>0</v>
      </c>
      <c r="L43" s="57">
        <v>-0.40720000000000001</v>
      </c>
      <c r="M43" s="42">
        <f t="shared" ref="M43:M67" si="18">L43*P43</f>
        <v>-0.2102307922099787</v>
      </c>
      <c r="N43" s="57">
        <v>-0.40614</v>
      </c>
      <c r="O43" s="43">
        <f t="shared" ref="O43:O67" si="19">N43*P43</f>
        <v>-0.20968353130687806</v>
      </c>
      <c r="P43" s="52">
        <f t="shared" ref="P43:P67" si="20">SIN($C$4*(Q43*M$19+R43*M$20+S43*M$21+T43*M$22))</f>
        <v>0.51628387084965299</v>
      </c>
      <c r="Q43" s="25">
        <v>0</v>
      </c>
      <c r="R43" s="25">
        <v>1</v>
      </c>
      <c r="S43" s="25">
        <v>0</v>
      </c>
      <c r="T43" s="27">
        <v>0</v>
      </c>
      <c r="V43" s="57">
        <v>-0.40720000000000001</v>
      </c>
      <c r="W43" s="42">
        <f t="shared" ref="W43:W67" si="21">V43*Z43</f>
        <v>0.37015487906558842</v>
      </c>
      <c r="X43" s="57">
        <v>-0.40614</v>
      </c>
      <c r="Y43" s="43">
        <f t="shared" ref="Y43:Y67" si="22">X43*Z43</f>
        <v>0.36919131282833517</v>
      </c>
      <c r="Z43" s="52">
        <f t="shared" ref="Z43:Z67" si="23">SIN($C$4*(AA43*W$19+AB43*W$20+AC43*W$21+AD43*W$22))</f>
        <v>-0.90902475212570832</v>
      </c>
      <c r="AA43" s="25">
        <v>0</v>
      </c>
      <c r="AB43" s="25">
        <v>1</v>
      </c>
      <c r="AC43" s="25">
        <v>0</v>
      </c>
      <c r="AD43" s="27">
        <v>0</v>
      </c>
      <c r="AF43" s="57">
        <v>-0.40720000000000001</v>
      </c>
      <c r="AG43" s="42">
        <f t="shared" ref="AG43:AG67" si="24">AF43*AJ43</f>
        <v>0.12701289789178102</v>
      </c>
      <c r="AH43" s="57">
        <v>-0.40614</v>
      </c>
      <c r="AI43" s="43">
        <f t="shared" ref="AI43:AI67" si="25">AH43*AJ43</f>
        <v>0.12668226510257352</v>
      </c>
      <c r="AJ43" s="52">
        <f t="shared" ref="AJ43:AJ67" si="26">SIN($C$4*(AK43*AG$19+AL43*AG$20+AM43*AG$21+AN43*AG$22))</f>
        <v>-0.31191772566743864</v>
      </c>
      <c r="AK43" s="25">
        <v>0</v>
      </c>
      <c r="AL43" s="25">
        <v>1</v>
      </c>
      <c r="AM43" s="25">
        <v>0</v>
      </c>
      <c r="AN43" s="27">
        <v>0</v>
      </c>
      <c r="AP43" s="57">
        <v>-0.40720000000000001</v>
      </c>
      <c r="AQ43" s="42">
        <f t="shared" ref="AQ43:AQ67" si="27">AP43*AT43</f>
        <v>-0.39870980705039744</v>
      </c>
      <c r="AR43" s="57">
        <v>-0.40614</v>
      </c>
      <c r="AS43" s="43">
        <f t="shared" ref="AS43:AS67" si="28">AR43*AT43</f>
        <v>-0.39767190824029569</v>
      </c>
      <c r="AT43" s="52">
        <f t="shared" ref="AT43:AT67" si="29">SIN($C$4*(AU43*AQ$19+AV43*AQ$20+AW43*AQ$21+AX43*AQ$22))</f>
        <v>0.97914982085068125</v>
      </c>
      <c r="AU43" s="25">
        <v>0</v>
      </c>
      <c r="AV43" s="25">
        <v>1</v>
      </c>
      <c r="AW43" s="25">
        <v>0</v>
      </c>
      <c r="AX43" s="27">
        <v>0</v>
      </c>
    </row>
    <row r="44" spans="2:50" x14ac:dyDescent="0.15">
      <c r="B44" s="51">
        <f>0.17241*C$16</f>
        <v>0.1723043588081071</v>
      </c>
      <c r="C44" s="40">
        <f t="shared" si="15"/>
        <v>0.14406975426099583</v>
      </c>
      <c r="D44" s="51">
        <f>0.17302*C$16</f>
        <v>0.17291398504134731</v>
      </c>
      <c r="E44" s="41">
        <f t="shared" si="16"/>
        <v>0.14457948426563133</v>
      </c>
      <c r="F44" s="50">
        <f t="shared" si="17"/>
        <v>0.83613528559335093</v>
      </c>
      <c r="G44" s="25">
        <v>1</v>
      </c>
      <c r="H44" s="25">
        <v>0</v>
      </c>
      <c r="I44" s="25">
        <v>0</v>
      </c>
      <c r="J44" s="27">
        <v>0</v>
      </c>
      <c r="L44" s="51">
        <f>0.17241*M$16</f>
        <v>0.17230427100344362</v>
      </c>
      <c r="M44" s="40">
        <f t="shared" si="18"/>
        <v>0.13093893289248257</v>
      </c>
      <c r="N44" s="51">
        <f>0.17302*M$16</f>
        <v>0.17291389692602407</v>
      </c>
      <c r="O44" s="41">
        <f t="shared" si="19"/>
        <v>0.13140220502904315</v>
      </c>
      <c r="P44" s="50">
        <f t="shared" si="20"/>
        <v>0.75992853879905076</v>
      </c>
      <c r="Q44" s="25">
        <v>1</v>
      </c>
      <c r="R44" s="25">
        <v>0</v>
      </c>
      <c r="S44" s="25">
        <v>0</v>
      </c>
      <c r="T44" s="27">
        <v>0</v>
      </c>
      <c r="V44" s="51">
        <f>0.17241*W$16</f>
        <v>0.17230418319867583</v>
      </c>
      <c r="W44" s="40">
        <f t="shared" si="21"/>
        <v>0.11569917914867735</v>
      </c>
      <c r="X44" s="51">
        <f>0.17302*W$16</f>
        <v>0.1729138088105962</v>
      </c>
      <c r="Y44" s="41">
        <f t="shared" si="22"/>
        <v>0.1161085318502648</v>
      </c>
      <c r="Z44" s="50">
        <f t="shared" si="23"/>
        <v>0.67148212539489005</v>
      </c>
      <c r="AA44" s="25">
        <v>1</v>
      </c>
      <c r="AB44" s="25">
        <v>0</v>
      </c>
      <c r="AC44" s="25">
        <v>0</v>
      </c>
      <c r="AD44" s="27">
        <v>0</v>
      </c>
      <c r="AF44" s="51">
        <f>0.17241*AG$16</f>
        <v>0.17230409539380387</v>
      </c>
      <c r="AG44" s="40">
        <f t="shared" si="24"/>
        <v>9.859595169297207E-2</v>
      </c>
      <c r="AH44" s="51">
        <f>0.17302*AG$16</f>
        <v>0.17291372069506378</v>
      </c>
      <c r="AI44" s="41">
        <f t="shared" si="25"/>
        <v>9.8944791844545132E-2</v>
      </c>
      <c r="AJ44" s="50">
        <f t="shared" si="26"/>
        <v>0.57222059329251218</v>
      </c>
      <c r="AK44" s="25">
        <v>1</v>
      </c>
      <c r="AL44" s="25">
        <v>0</v>
      </c>
      <c r="AM44" s="25">
        <v>0</v>
      </c>
      <c r="AN44" s="27">
        <v>0</v>
      </c>
      <c r="AP44" s="51">
        <f>0.17241*AQ$16</f>
        <v>0.17230400758882761</v>
      </c>
      <c r="AQ44" s="40">
        <f t="shared" si="27"/>
        <v>7.9904722662482788E-2</v>
      </c>
      <c r="AR44" s="51">
        <f>0.17302*AQ$16</f>
        <v>0.17291363257942666</v>
      </c>
      <c r="AS44" s="41">
        <f t="shared" si="28"/>
        <v>8.0187431790863475E-2</v>
      </c>
      <c r="AT44" s="50">
        <f t="shared" si="29"/>
        <v>0.46374268237080696</v>
      </c>
      <c r="AU44" s="25">
        <v>1</v>
      </c>
      <c r="AV44" s="25">
        <v>0</v>
      </c>
      <c r="AW44" s="25">
        <v>0</v>
      </c>
      <c r="AX44" s="27">
        <v>0</v>
      </c>
    </row>
    <row r="45" spans="2:50" x14ac:dyDescent="0.15">
      <c r="B45" s="51">
        <v>1.6080000000000001E-2</v>
      </c>
      <c r="C45" s="40">
        <f t="shared" si="15"/>
        <v>1.5537528171978569E-2</v>
      </c>
      <c r="D45" s="51">
        <v>1.6140000000000002E-2</v>
      </c>
      <c r="E45" s="41">
        <f t="shared" si="16"/>
        <v>1.559550402336655E-2</v>
      </c>
      <c r="F45" s="50">
        <f t="shared" si="17"/>
        <v>0.96626418979966222</v>
      </c>
      <c r="G45" s="25">
        <v>0</v>
      </c>
      <c r="H45" s="25">
        <v>2</v>
      </c>
      <c r="I45" s="25">
        <v>0</v>
      </c>
      <c r="J45" s="27">
        <v>0</v>
      </c>
      <c r="L45" s="51">
        <v>1.6080000000000001E-2</v>
      </c>
      <c r="M45" s="40">
        <f t="shared" si="18"/>
        <v>-1.4219690364174772E-2</v>
      </c>
      <c r="N45" s="51">
        <v>1.6140000000000002E-2</v>
      </c>
      <c r="O45" s="41">
        <f t="shared" si="19"/>
        <v>-1.4272748910309753E-2</v>
      </c>
      <c r="P45" s="50">
        <f t="shared" si="20"/>
        <v>-0.88430910224967485</v>
      </c>
      <c r="Q45" s="25">
        <v>0</v>
      </c>
      <c r="R45" s="25">
        <v>2</v>
      </c>
      <c r="S45" s="25">
        <v>0</v>
      </c>
      <c r="T45" s="27">
        <v>0</v>
      </c>
      <c r="V45" s="51">
        <v>1.6080000000000001E-2</v>
      </c>
      <c r="W45" s="40">
        <f t="shared" si="21"/>
        <v>1.2183137689871384E-2</v>
      </c>
      <c r="X45" s="51">
        <v>1.6140000000000002E-2</v>
      </c>
      <c r="Y45" s="41">
        <f t="shared" si="22"/>
        <v>1.2228597158863442E-2</v>
      </c>
      <c r="Z45" s="50">
        <f t="shared" si="23"/>
        <v>0.75765781653428999</v>
      </c>
      <c r="AA45" s="25">
        <v>0</v>
      </c>
      <c r="AB45" s="25">
        <v>2</v>
      </c>
      <c r="AC45" s="25">
        <v>0</v>
      </c>
      <c r="AD45" s="27">
        <v>0</v>
      </c>
      <c r="AF45" s="51">
        <v>1.6080000000000001E-2</v>
      </c>
      <c r="AG45" s="40">
        <f t="shared" si="24"/>
        <v>-9.5308049276625704E-3</v>
      </c>
      <c r="AH45" s="51">
        <v>1.6140000000000002E-2</v>
      </c>
      <c r="AI45" s="41">
        <f t="shared" si="25"/>
        <v>-9.5663676326165365E-3</v>
      </c>
      <c r="AJ45" s="50">
        <f t="shared" si="26"/>
        <v>-0.59271174923274694</v>
      </c>
      <c r="AK45" s="25">
        <v>0</v>
      </c>
      <c r="AL45" s="25">
        <v>2</v>
      </c>
      <c r="AM45" s="25">
        <v>0</v>
      </c>
      <c r="AN45" s="27">
        <v>0</v>
      </c>
      <c r="AP45" s="51">
        <v>1.6080000000000001E-2</v>
      </c>
      <c r="AQ45" s="40">
        <f t="shared" si="27"/>
        <v>6.3967506214115373E-3</v>
      </c>
      <c r="AR45" s="51">
        <v>1.6140000000000002E-2</v>
      </c>
      <c r="AS45" s="41">
        <f t="shared" si="28"/>
        <v>6.4206190938794908E-3</v>
      </c>
      <c r="AT45" s="50">
        <f t="shared" si="29"/>
        <v>0.39780787446589161</v>
      </c>
      <c r="AU45" s="25">
        <v>0</v>
      </c>
      <c r="AV45" s="25">
        <v>2</v>
      </c>
      <c r="AW45" s="25">
        <v>0</v>
      </c>
      <c r="AX45" s="27">
        <v>0</v>
      </c>
    </row>
    <row r="46" spans="2:50" x14ac:dyDescent="0.15">
      <c r="B46" s="51">
        <v>1.039E-2</v>
      </c>
      <c r="C46" s="40">
        <f t="shared" si="15"/>
        <v>9.4214411005522705E-3</v>
      </c>
      <c r="D46" s="51">
        <v>1.043E-2</v>
      </c>
      <c r="E46" s="41">
        <f t="shared" si="16"/>
        <v>9.4577122886198434E-3</v>
      </c>
      <c r="F46" s="50">
        <f t="shared" si="17"/>
        <v>0.90677970168934263</v>
      </c>
      <c r="G46" s="25">
        <v>0</v>
      </c>
      <c r="H46" s="25">
        <v>0</v>
      </c>
      <c r="I46" s="25">
        <v>2</v>
      </c>
      <c r="J46" s="27">
        <v>0</v>
      </c>
      <c r="L46" s="51">
        <v>1.039E-2</v>
      </c>
      <c r="M46" s="40">
        <f t="shared" si="18"/>
        <v>-1.0244477864019079E-2</v>
      </c>
      <c r="N46" s="51">
        <v>1.043E-2</v>
      </c>
      <c r="O46" s="41">
        <f t="shared" si="19"/>
        <v>-1.0283917624804522E-2</v>
      </c>
      <c r="P46" s="50">
        <f t="shared" si="20"/>
        <v>-0.98599401963610001</v>
      </c>
      <c r="Q46" s="25">
        <v>0</v>
      </c>
      <c r="R46" s="25">
        <v>0</v>
      </c>
      <c r="S46" s="25">
        <v>2</v>
      </c>
      <c r="T46" s="27">
        <v>0</v>
      </c>
      <c r="V46" s="51">
        <v>1.039E-2</v>
      </c>
      <c r="W46" s="40">
        <f t="shared" si="21"/>
        <v>1.0338003081395245E-2</v>
      </c>
      <c r="X46" s="51">
        <v>1.043E-2</v>
      </c>
      <c r="Y46" s="41">
        <f t="shared" si="22"/>
        <v>1.037780290076539E-2</v>
      </c>
      <c r="Z46" s="50">
        <f t="shared" si="23"/>
        <v>0.99499548425363282</v>
      </c>
      <c r="AA46" s="25">
        <v>0</v>
      </c>
      <c r="AB46" s="25">
        <v>0</v>
      </c>
      <c r="AC46" s="25">
        <v>2</v>
      </c>
      <c r="AD46" s="27">
        <v>0</v>
      </c>
      <c r="AF46" s="51">
        <v>1.039E-2</v>
      </c>
      <c r="AG46" s="40">
        <f t="shared" si="24"/>
        <v>-9.6953568011960648E-3</v>
      </c>
      <c r="AH46" s="51">
        <v>1.043E-2</v>
      </c>
      <c r="AI46" s="41">
        <f t="shared" si="25"/>
        <v>-9.7326825251660212E-3</v>
      </c>
      <c r="AJ46" s="50">
        <f t="shared" si="26"/>
        <v>-0.93314309924889938</v>
      </c>
      <c r="AK46" s="25">
        <v>0</v>
      </c>
      <c r="AL46" s="25">
        <v>0</v>
      </c>
      <c r="AM46" s="25">
        <v>2</v>
      </c>
      <c r="AN46" s="27">
        <v>0</v>
      </c>
      <c r="AP46" s="51">
        <v>1.039E-2</v>
      </c>
      <c r="AQ46" s="40">
        <f t="shared" si="27"/>
        <v>8.3623020079388478E-3</v>
      </c>
      <c r="AR46" s="51">
        <v>1.043E-2</v>
      </c>
      <c r="AS46" s="41">
        <f t="shared" si="28"/>
        <v>8.3944956634073326E-3</v>
      </c>
      <c r="AT46" s="50">
        <f t="shared" si="29"/>
        <v>0.80484138671211236</v>
      </c>
      <c r="AU46" s="25">
        <v>0</v>
      </c>
      <c r="AV46" s="25">
        <v>0</v>
      </c>
      <c r="AW46" s="25">
        <v>2</v>
      </c>
      <c r="AX46" s="27">
        <v>0</v>
      </c>
    </row>
    <row r="47" spans="2:50" x14ac:dyDescent="0.15">
      <c r="B47" s="51">
        <f>0.00739*C$16</f>
        <v>7.3854719076150528E-3</v>
      </c>
      <c r="C47" s="40">
        <f t="shared" si="15"/>
        <v>-6.9748053136135741E-3</v>
      </c>
      <c r="D47" s="51">
        <f>0.00734*C$16</f>
        <v>7.3355025442347083E-3</v>
      </c>
      <c r="E47" s="41">
        <f t="shared" si="16"/>
        <v>-6.9276144792860131E-3</v>
      </c>
      <c r="F47" s="50">
        <f t="shared" si="17"/>
        <v>-0.94439534817293846</v>
      </c>
      <c r="G47" s="25">
        <v>-1</v>
      </c>
      <c r="H47" s="25">
        <v>1</v>
      </c>
      <c r="I47" s="25">
        <v>0</v>
      </c>
      <c r="J47" s="27">
        <v>0</v>
      </c>
      <c r="L47" s="51">
        <f>0.00739*M$16</f>
        <v>7.3854681440487686E-3</v>
      </c>
      <c r="M47" s="40">
        <f t="shared" si="18"/>
        <v>2.3281076452239752E-3</v>
      </c>
      <c r="N47" s="51">
        <f>0.00734*M$16</f>
        <v>7.3354988061323356E-3</v>
      </c>
      <c r="O47" s="41">
        <f t="shared" si="19"/>
        <v>2.312355902022189E-3</v>
      </c>
      <c r="P47" s="50">
        <f t="shared" si="20"/>
        <v>0.31522817508866663</v>
      </c>
      <c r="Q47" s="25">
        <v>-1</v>
      </c>
      <c r="R47" s="25">
        <v>1</v>
      </c>
      <c r="S47" s="25">
        <v>0</v>
      </c>
      <c r="T47" s="27">
        <v>0</v>
      </c>
      <c r="V47" s="51">
        <f>0.00739*W$16</f>
        <v>7.3854643804780132E-3</v>
      </c>
      <c r="W47" s="40">
        <f t="shared" si="21"/>
        <v>7.0416052423327531E-3</v>
      </c>
      <c r="X47" s="51">
        <f>0.00734*W$16</f>
        <v>7.3354950680255236E-3</v>
      </c>
      <c r="Y47" s="41">
        <f t="shared" si="22"/>
        <v>6.9939624463765107E-3</v>
      </c>
      <c r="Z47" s="50">
        <f t="shared" si="23"/>
        <v>0.95344109450257697</v>
      </c>
      <c r="AA47" s="25">
        <v>-1</v>
      </c>
      <c r="AB47" s="25">
        <v>1</v>
      </c>
      <c r="AC47" s="25">
        <v>0</v>
      </c>
      <c r="AD47" s="27">
        <v>0</v>
      </c>
      <c r="AF47" s="51">
        <f>0.00739*AG$16</f>
        <v>7.3854606169027927E-3</v>
      </c>
      <c r="AG47" s="40">
        <f t="shared" si="24"/>
        <v>-2.1260403960298413E-3</v>
      </c>
      <c r="AH47" s="51">
        <f>0.00734*AG$16</f>
        <v>7.335491329914276E-3</v>
      </c>
      <c r="AI47" s="41">
        <f t="shared" si="25"/>
        <v>-2.1116558196020347E-3</v>
      </c>
      <c r="AJ47" s="50">
        <f t="shared" si="26"/>
        <v>-0.28786835463776794</v>
      </c>
      <c r="AK47" s="25">
        <v>-1</v>
      </c>
      <c r="AL47" s="25">
        <v>1</v>
      </c>
      <c r="AM47" s="25">
        <v>0</v>
      </c>
      <c r="AN47" s="27">
        <v>0</v>
      </c>
      <c r="AP47" s="51">
        <f>0.00739*AQ$16</f>
        <v>7.3854568533231017E-3</v>
      </c>
      <c r="AQ47" s="40">
        <f t="shared" si="27"/>
        <v>-7.1026066105144229E-3</v>
      </c>
      <c r="AR47" s="51">
        <f>0.00734*AQ$16</f>
        <v>7.3354875917985883E-3</v>
      </c>
      <c r="AS47" s="41">
        <f t="shared" si="28"/>
        <v>-7.0545510854094539E-3</v>
      </c>
      <c r="AT47" s="50">
        <f t="shared" si="29"/>
        <v>-0.96170172699859324</v>
      </c>
      <c r="AU47" s="25">
        <v>-1</v>
      </c>
      <c r="AV47" s="25">
        <v>1</v>
      </c>
      <c r="AW47" s="25">
        <v>0</v>
      </c>
      <c r="AX47" s="27">
        <v>0</v>
      </c>
    </row>
    <row r="48" spans="2:50" x14ac:dyDescent="0.15">
      <c r="B48" s="51">
        <f>-0.00514*C$16</f>
        <v>-5.1368505554995093E-3</v>
      </c>
      <c r="C48" s="40">
        <f t="shared" si="15"/>
        <v>-3.8263169243917488E-4</v>
      </c>
      <c r="D48" s="51">
        <f>-0.00515*C$16</f>
        <v>-5.1468444281755786E-3</v>
      </c>
      <c r="E48" s="41">
        <f t="shared" si="16"/>
        <v>-3.8337611207427054E-4</v>
      </c>
      <c r="F48" s="50">
        <f t="shared" si="17"/>
        <v>7.4487604477714381E-2</v>
      </c>
      <c r="G48" s="25">
        <v>1</v>
      </c>
      <c r="H48" s="25">
        <v>1</v>
      </c>
      <c r="I48" s="25">
        <v>0</v>
      </c>
      <c r="J48" s="27">
        <v>0</v>
      </c>
      <c r="L48" s="51">
        <f>-0.00514*M$16</f>
        <v>-5.136847937809292E-3</v>
      </c>
      <c r="M48" s="40">
        <f t="shared" si="18"/>
        <v>5.0670076133514496E-3</v>
      </c>
      <c r="N48" s="51">
        <f>-0.00515*M$16</f>
        <v>-5.1468418053925791E-3</v>
      </c>
      <c r="O48" s="41">
        <f t="shared" si="19"/>
        <v>5.0768656048171146E-3</v>
      </c>
      <c r="P48" s="50">
        <f t="shared" si="20"/>
        <v>-0.98640405063506176</v>
      </c>
      <c r="Q48" s="25">
        <v>1</v>
      </c>
      <c r="R48" s="25">
        <v>1</v>
      </c>
      <c r="S48" s="25">
        <v>0</v>
      </c>
      <c r="T48" s="27">
        <v>0</v>
      </c>
      <c r="V48" s="51">
        <f>-0.00514*W$16</f>
        <v>-5.136845320115966E-3</v>
      </c>
      <c r="W48" s="40">
        <f t="shared" si="21"/>
        <v>-2.022742345786051E-3</v>
      </c>
      <c r="X48" s="51">
        <f>-0.00515*W$16</f>
        <v>-5.1468391826064641E-3</v>
      </c>
      <c r="Y48" s="41">
        <f t="shared" si="22"/>
        <v>-2.0266776421786312E-3</v>
      </c>
      <c r="Z48" s="50">
        <f t="shared" si="23"/>
        <v>0.39377131677782096</v>
      </c>
      <c r="AA48" s="25">
        <v>1</v>
      </c>
      <c r="AB48" s="25">
        <v>1</v>
      </c>
      <c r="AC48" s="25">
        <v>0</v>
      </c>
      <c r="AD48" s="27">
        <v>0</v>
      </c>
      <c r="AF48" s="51">
        <f>-0.00514*AG$16</f>
        <v>-5.1368427024195331E-3</v>
      </c>
      <c r="AG48" s="40">
        <f t="shared" si="24"/>
        <v>-4.106780656038261E-3</v>
      </c>
      <c r="AH48" s="51">
        <f>-0.00515*AG$16</f>
        <v>-5.146836559817237E-3</v>
      </c>
      <c r="AI48" s="41">
        <f t="shared" si="25"/>
        <v>-4.114770501672577E-3</v>
      </c>
      <c r="AJ48" s="50">
        <f t="shared" si="26"/>
        <v>0.79947564952765693</v>
      </c>
      <c r="AK48" s="25">
        <v>1</v>
      </c>
      <c r="AL48" s="25">
        <v>1</v>
      </c>
      <c r="AM48" s="25">
        <v>0</v>
      </c>
      <c r="AN48" s="27">
        <v>0</v>
      </c>
      <c r="AP48" s="51">
        <f>-0.00514*AQ$16</f>
        <v>-5.1368400847199916E-3</v>
      </c>
      <c r="AQ48" s="40">
        <f t="shared" si="27"/>
        <v>3.9722818527847207E-3</v>
      </c>
      <c r="AR48" s="51">
        <f>-0.00515*AQ$16</f>
        <v>-5.1468339370248951E-3</v>
      </c>
      <c r="AS48" s="41">
        <f t="shared" si="28"/>
        <v>3.9800100275955864E-3</v>
      </c>
      <c r="AT48" s="50">
        <f t="shared" si="29"/>
        <v>-0.77329287796998825</v>
      </c>
      <c r="AU48" s="25">
        <v>1</v>
      </c>
      <c r="AV48" s="25">
        <v>1</v>
      </c>
      <c r="AW48" s="25">
        <v>0</v>
      </c>
      <c r="AX48" s="27">
        <v>0</v>
      </c>
    </row>
    <row r="49" spans="2:50" x14ac:dyDescent="0.15">
      <c r="B49" s="51">
        <f>0.00208*POWER(C$16,2)</f>
        <v>2.0774518141619888E-3</v>
      </c>
      <c r="C49" s="40">
        <f t="shared" si="15"/>
        <v>-1.9056036120877386E-3</v>
      </c>
      <c r="D49" s="51">
        <f>0.00209*POWER(C$16,2)</f>
        <v>2.0874395632685368E-3</v>
      </c>
      <c r="E49" s="41">
        <f t="shared" si="16"/>
        <v>-1.9147651679150834E-3</v>
      </c>
      <c r="F49" s="50">
        <f t="shared" si="17"/>
        <v>-0.91727933187053434</v>
      </c>
      <c r="G49" s="25">
        <v>2</v>
      </c>
      <c r="H49" s="25">
        <v>0</v>
      </c>
      <c r="I49" s="25">
        <v>0</v>
      </c>
      <c r="J49" s="27">
        <v>0</v>
      </c>
      <c r="L49" s="51">
        <f>0.00208*POWER(M$16,2)</f>
        <v>2.0774496968631317E-3</v>
      </c>
      <c r="M49" s="40">
        <f t="shared" si="18"/>
        <v>-2.0523482324835561E-3</v>
      </c>
      <c r="N49" s="51">
        <f>0.00209*POWER(M$16,2)</f>
        <v>2.0874374357903584E-3</v>
      </c>
      <c r="O49" s="41">
        <f t="shared" si="19"/>
        <v>-2.0622152912935735E-3</v>
      </c>
      <c r="P49" s="50">
        <f t="shared" si="20"/>
        <v>-0.9879171734374711</v>
      </c>
      <c r="Q49" s="25">
        <v>2</v>
      </c>
      <c r="R49" s="25">
        <v>0</v>
      </c>
      <c r="S49" s="25">
        <v>0</v>
      </c>
      <c r="T49" s="27">
        <v>0</v>
      </c>
      <c r="V49" s="51">
        <f>0.00208*POWER(W$16,2)</f>
        <v>2.0774475795628392E-3</v>
      </c>
      <c r="W49" s="40">
        <f t="shared" si="21"/>
        <v>-2.0674018311980179E-3</v>
      </c>
      <c r="X49" s="51">
        <f>0.00209*POWER(W$16,2)</f>
        <v>2.0874353083107375E-3</v>
      </c>
      <c r="Y49" s="41">
        <f t="shared" si="22"/>
        <v>-2.0773412630787779E-3</v>
      </c>
      <c r="Z49" s="50">
        <f t="shared" si="23"/>
        <v>-0.99516437937416691</v>
      </c>
      <c r="AA49" s="25">
        <v>2</v>
      </c>
      <c r="AB49" s="25">
        <v>0</v>
      </c>
      <c r="AC49" s="25">
        <v>0</v>
      </c>
      <c r="AD49" s="27">
        <v>0</v>
      </c>
      <c r="AF49" s="51">
        <f>0.00208*POWER(AG$16,2)</f>
        <v>2.0774454622611129E-3</v>
      </c>
      <c r="AG49" s="40">
        <f t="shared" si="24"/>
        <v>-1.9497987493142205E-3</v>
      </c>
      <c r="AH49" s="51">
        <f>0.00209*POWER(AG$16,2)</f>
        <v>2.087433180829676E-3</v>
      </c>
      <c r="AI49" s="41">
        <f t="shared" si="25"/>
        <v>-1.9591727817628466E-3</v>
      </c>
      <c r="AJ49" s="50">
        <f t="shared" si="26"/>
        <v>-0.93855592588796033</v>
      </c>
      <c r="AK49" s="25">
        <v>2</v>
      </c>
      <c r="AL49" s="25">
        <v>0</v>
      </c>
      <c r="AM49" s="25">
        <v>0</v>
      </c>
      <c r="AN49" s="27">
        <v>0</v>
      </c>
      <c r="AP49" s="51">
        <f>0.00208*POWER(AQ$16,2)</f>
        <v>2.0774433449579507E-3</v>
      </c>
      <c r="AQ49" s="40">
        <f t="shared" si="27"/>
        <v>-1.7070853620261E-3</v>
      </c>
      <c r="AR49" s="51">
        <f>0.00209*POWER(AQ$16,2)</f>
        <v>2.0874310533471716E-3</v>
      </c>
      <c r="AS49" s="41">
        <f t="shared" si="28"/>
        <v>-1.7152925031896872E-3</v>
      </c>
      <c r="AT49" s="50">
        <f t="shared" si="29"/>
        <v>-0.82172414769782953</v>
      </c>
      <c r="AU49" s="25">
        <v>2</v>
      </c>
      <c r="AV49" s="25">
        <v>0</v>
      </c>
      <c r="AW49" s="25">
        <v>0</v>
      </c>
      <c r="AX49" s="27">
        <v>0</v>
      </c>
    </row>
    <row r="50" spans="2:50" x14ac:dyDescent="0.15">
      <c r="B50" s="51">
        <v>-1.1100000000000001E-3</v>
      </c>
      <c r="C50" s="40">
        <f t="shared" si="15"/>
        <v>2.4216925042348236E-4</v>
      </c>
      <c r="D50" s="51">
        <v>-1.1100000000000001E-3</v>
      </c>
      <c r="E50" s="41">
        <f t="shared" si="16"/>
        <v>2.4216925042348236E-4</v>
      </c>
      <c r="F50" s="50">
        <f t="shared" si="17"/>
        <v>-0.21817049587701112</v>
      </c>
      <c r="G50" s="25">
        <v>0</v>
      </c>
      <c r="H50" s="25">
        <v>1</v>
      </c>
      <c r="I50" s="25">
        <v>-2</v>
      </c>
      <c r="J50" s="27">
        <v>0</v>
      </c>
      <c r="L50" s="51">
        <v>-1.1100000000000001E-3</v>
      </c>
      <c r="M50" s="40">
        <f t="shared" si="18"/>
        <v>1.032886882305524E-3</v>
      </c>
      <c r="N50" s="51">
        <v>-1.1100000000000001E-3</v>
      </c>
      <c r="O50" s="41">
        <f t="shared" si="19"/>
        <v>1.032886882305524E-3</v>
      </c>
      <c r="P50" s="50">
        <f t="shared" si="20"/>
        <v>-0.93052872279776921</v>
      </c>
      <c r="Q50" s="25">
        <v>0</v>
      </c>
      <c r="R50" s="25">
        <v>1</v>
      </c>
      <c r="S50" s="25">
        <v>-2</v>
      </c>
      <c r="T50" s="27">
        <v>0</v>
      </c>
      <c r="V50" s="51">
        <v>-1.1100000000000001E-3</v>
      </c>
      <c r="W50" s="40">
        <f t="shared" si="21"/>
        <v>-5.6108967740812782E-4</v>
      </c>
      <c r="X50" s="51">
        <v>-1.1100000000000001E-3</v>
      </c>
      <c r="Y50" s="41">
        <f t="shared" si="22"/>
        <v>-5.6108967740812782E-4</v>
      </c>
      <c r="Z50" s="50">
        <f t="shared" si="23"/>
        <v>0.50548619586317822</v>
      </c>
      <c r="AA50" s="25">
        <v>0</v>
      </c>
      <c r="AB50" s="25">
        <v>1</v>
      </c>
      <c r="AC50" s="25">
        <v>-2</v>
      </c>
      <c r="AD50" s="27">
        <v>0</v>
      </c>
      <c r="AF50" s="51">
        <v>-1.1100000000000001E-3</v>
      </c>
      <c r="AG50" s="40">
        <f t="shared" si="24"/>
        <v>-8.5964142577520098E-4</v>
      </c>
      <c r="AH50" s="51">
        <v>-1.1100000000000001E-3</v>
      </c>
      <c r="AI50" s="41">
        <f t="shared" si="25"/>
        <v>-8.5964142577520098E-4</v>
      </c>
      <c r="AJ50" s="50">
        <f t="shared" si="26"/>
        <v>0.77445173493261343</v>
      </c>
      <c r="AK50" s="25">
        <v>0</v>
      </c>
      <c r="AL50" s="25">
        <v>1</v>
      </c>
      <c r="AM50" s="25">
        <v>-2</v>
      </c>
      <c r="AN50" s="27">
        <v>0</v>
      </c>
      <c r="AP50" s="51">
        <v>-1.1100000000000001E-3</v>
      </c>
      <c r="AQ50" s="40">
        <f t="shared" si="27"/>
        <v>8.2651778496741109E-4</v>
      </c>
      <c r="AR50" s="51">
        <v>-1.1100000000000001E-3</v>
      </c>
      <c r="AS50" s="41">
        <f t="shared" si="28"/>
        <v>8.2651778496741109E-4</v>
      </c>
      <c r="AT50" s="50">
        <f t="shared" si="29"/>
        <v>-0.74461061708775766</v>
      </c>
      <c r="AU50" s="25">
        <v>0</v>
      </c>
      <c r="AV50" s="25">
        <v>1</v>
      </c>
      <c r="AW50" s="25">
        <v>-2</v>
      </c>
      <c r="AX50" s="27">
        <v>0</v>
      </c>
    </row>
    <row r="51" spans="2:50" x14ac:dyDescent="0.15">
      <c r="B51" s="51">
        <v>-5.6999999999999998E-4</v>
      </c>
      <c r="C51" s="40">
        <f t="shared" si="15"/>
        <v>-5.0547433575924561E-4</v>
      </c>
      <c r="D51" s="51">
        <v>-5.6999999999999998E-4</v>
      </c>
      <c r="E51" s="41">
        <f t="shared" si="16"/>
        <v>-5.0547433575924561E-4</v>
      </c>
      <c r="F51" s="50">
        <f t="shared" si="17"/>
        <v>0.8867970802793782</v>
      </c>
      <c r="G51" s="25">
        <v>0</v>
      </c>
      <c r="H51" s="25">
        <v>1</v>
      </c>
      <c r="I51" s="25">
        <v>2</v>
      </c>
      <c r="J51" s="27">
        <v>0</v>
      </c>
      <c r="L51" s="51">
        <v>-5.6999999999999998E-4</v>
      </c>
      <c r="M51" s="40">
        <f t="shared" si="18"/>
        <v>-4.3224033592657244E-4</v>
      </c>
      <c r="N51" s="51">
        <v>-5.6999999999999998E-4</v>
      </c>
      <c r="O51" s="41">
        <f t="shared" si="19"/>
        <v>-4.3224033592657244E-4</v>
      </c>
      <c r="P51" s="50">
        <f t="shared" si="20"/>
        <v>0.75831637881854819</v>
      </c>
      <c r="Q51" s="25">
        <v>0</v>
      </c>
      <c r="R51" s="25">
        <v>1</v>
      </c>
      <c r="S51" s="25">
        <v>2</v>
      </c>
      <c r="T51" s="27">
        <v>0</v>
      </c>
      <c r="V51" s="51">
        <v>-5.6999999999999998E-4</v>
      </c>
      <c r="W51" s="40">
        <f t="shared" si="21"/>
        <v>1.8458131711032326E-4</v>
      </c>
      <c r="X51" s="51">
        <v>-5.6999999999999998E-4</v>
      </c>
      <c r="Y51" s="41">
        <f t="shared" si="22"/>
        <v>1.8458131711032326E-4</v>
      </c>
      <c r="Z51" s="50">
        <f t="shared" si="23"/>
        <v>-0.32382687212337413</v>
      </c>
      <c r="AA51" s="25">
        <v>0</v>
      </c>
      <c r="AB51" s="25">
        <v>1</v>
      </c>
      <c r="AC51" s="25">
        <v>2</v>
      </c>
      <c r="AD51" s="27">
        <v>0</v>
      </c>
      <c r="AF51" s="51">
        <v>-5.6999999999999998E-4</v>
      </c>
      <c r="AG51" s="40">
        <f t="shared" si="24"/>
        <v>5.6927256339587E-4</v>
      </c>
      <c r="AH51" s="51">
        <v>-5.6999999999999998E-4</v>
      </c>
      <c r="AI51" s="41">
        <f t="shared" si="25"/>
        <v>5.6927256339587E-4</v>
      </c>
      <c r="AJ51" s="50">
        <f t="shared" si="26"/>
        <v>-0.99872379543135092</v>
      </c>
      <c r="AK51" s="25">
        <v>0</v>
      </c>
      <c r="AL51" s="25">
        <v>1</v>
      </c>
      <c r="AM51" s="25">
        <v>2</v>
      </c>
      <c r="AN51" s="27">
        <v>0</v>
      </c>
      <c r="AP51" s="51">
        <v>-5.6999999999999998E-4</v>
      </c>
      <c r="AQ51" s="40">
        <f t="shared" si="27"/>
        <v>2.3804372763360654E-4</v>
      </c>
      <c r="AR51" s="51">
        <v>-5.6999999999999998E-4</v>
      </c>
      <c r="AS51" s="41">
        <f t="shared" si="28"/>
        <v>2.3804372763360654E-4</v>
      </c>
      <c r="AT51" s="50">
        <f t="shared" si="29"/>
        <v>-0.41762057479580095</v>
      </c>
      <c r="AU51" s="25">
        <v>0</v>
      </c>
      <c r="AV51" s="25">
        <v>1</v>
      </c>
      <c r="AW51" s="25">
        <v>2</v>
      </c>
      <c r="AX51" s="27">
        <v>0</v>
      </c>
    </row>
    <row r="52" spans="2:50" x14ac:dyDescent="0.15">
      <c r="B52" s="51">
        <f>0.00056*C$16</f>
        <v>5.5965686985986866E-4</v>
      </c>
      <c r="C52" s="40">
        <f t="shared" si="15"/>
        <v>-4.1715004056887983E-4</v>
      </c>
      <c r="D52" s="51">
        <f>0.00056*C$16</f>
        <v>5.5965686985986866E-4</v>
      </c>
      <c r="E52" s="41">
        <f t="shared" si="16"/>
        <v>-4.1715004056887983E-4</v>
      </c>
      <c r="F52" s="50">
        <f t="shared" si="17"/>
        <v>-0.74536749754064335</v>
      </c>
      <c r="G52" s="25">
        <v>1</v>
      </c>
      <c r="H52" s="25">
        <v>2</v>
      </c>
      <c r="I52" s="25">
        <v>0</v>
      </c>
      <c r="J52" s="27">
        <v>0</v>
      </c>
      <c r="L52" s="51">
        <f>0.00056*M$16</f>
        <v>5.5965658466404738E-4</v>
      </c>
      <c r="M52" s="40">
        <f t="shared" si="18"/>
        <v>5.2026732645624619E-4</v>
      </c>
      <c r="N52" s="51">
        <f>0.00056*M$16</f>
        <v>5.5965658466404738E-4</v>
      </c>
      <c r="O52" s="41">
        <f t="shared" si="19"/>
        <v>5.2026732645624619E-4</v>
      </c>
      <c r="P52" s="50">
        <f t="shared" si="20"/>
        <v>0.92961887827792489</v>
      </c>
      <c r="Q52" s="25">
        <v>1</v>
      </c>
      <c r="R52" s="25">
        <v>2</v>
      </c>
      <c r="S52" s="25">
        <v>0</v>
      </c>
      <c r="T52" s="27">
        <v>0</v>
      </c>
      <c r="V52" s="51">
        <f>0.00056*W$16</f>
        <v>5.5965629946788729E-4</v>
      </c>
      <c r="W52" s="40">
        <f t="shared" si="21"/>
        <v>-5.5947962561929583E-4</v>
      </c>
      <c r="X52" s="51">
        <f>0.00056*W$16</f>
        <v>5.5965629946788729E-4</v>
      </c>
      <c r="Y52" s="41">
        <f t="shared" si="22"/>
        <v>-5.5947962561929583E-4</v>
      </c>
      <c r="Z52" s="50">
        <f t="shared" si="23"/>
        <v>-0.99968431723406048</v>
      </c>
      <c r="AA52" s="25">
        <v>1</v>
      </c>
      <c r="AB52" s="25">
        <v>2</v>
      </c>
      <c r="AC52" s="25">
        <v>0</v>
      </c>
      <c r="AD52" s="27">
        <v>0</v>
      </c>
      <c r="AF52" s="51">
        <f>0.00056*AG$16</f>
        <v>5.5965601427138882E-4</v>
      </c>
      <c r="AG52" s="40">
        <f t="shared" si="24"/>
        <v>5.299705228556012E-4</v>
      </c>
      <c r="AH52" s="51">
        <f>0.00056*AG$16</f>
        <v>5.5965601427138882E-4</v>
      </c>
      <c r="AI52" s="41">
        <f t="shared" si="25"/>
        <v>5.299705228556012E-4</v>
      </c>
      <c r="AJ52" s="50">
        <f t="shared" si="26"/>
        <v>0.94695761207098805</v>
      </c>
      <c r="AK52" s="25">
        <v>1</v>
      </c>
      <c r="AL52" s="25">
        <v>2</v>
      </c>
      <c r="AM52" s="25">
        <v>0</v>
      </c>
      <c r="AN52" s="27">
        <v>0</v>
      </c>
      <c r="AP52" s="51">
        <f>0.00056*AQ$16</f>
        <v>5.5965572907455165E-4</v>
      </c>
      <c r="AQ52" s="40">
        <f t="shared" si="27"/>
        <v>-4.3536471657420946E-4</v>
      </c>
      <c r="AR52" s="51">
        <f>0.00056*AQ$16</f>
        <v>5.5965572907455165E-4</v>
      </c>
      <c r="AS52" s="41">
        <f t="shared" si="28"/>
        <v>-4.3536471657420946E-4</v>
      </c>
      <c r="AT52" s="50">
        <f t="shared" si="29"/>
        <v>-0.77791523244858019</v>
      </c>
      <c r="AU52" s="25">
        <v>1</v>
      </c>
      <c r="AV52" s="25">
        <v>2</v>
      </c>
      <c r="AW52" s="25">
        <v>0</v>
      </c>
      <c r="AX52" s="27">
        <v>0</v>
      </c>
    </row>
    <row r="53" spans="2:50" x14ac:dyDescent="0.15">
      <c r="B53" s="51">
        <v>-4.2000000000000002E-4</v>
      </c>
      <c r="C53" s="40">
        <f t="shared" si="15"/>
        <v>-1.6148952351245711E-4</v>
      </c>
      <c r="D53" s="51">
        <v>-4.2000000000000002E-4</v>
      </c>
      <c r="E53" s="41">
        <f t="shared" si="16"/>
        <v>-1.6148952351245711E-4</v>
      </c>
      <c r="F53" s="50">
        <f t="shared" si="17"/>
        <v>0.38449886550585027</v>
      </c>
      <c r="G53" s="25">
        <v>0</v>
      </c>
      <c r="H53" s="25">
        <v>3</v>
      </c>
      <c r="I53" s="25">
        <v>0</v>
      </c>
      <c r="J53" s="27">
        <v>0</v>
      </c>
      <c r="L53" s="51">
        <v>-4.2000000000000002E-4</v>
      </c>
      <c r="M53" s="40">
        <f t="shared" si="18"/>
        <v>-4.1932453150824177E-4</v>
      </c>
      <c r="N53" s="51">
        <v>-4.2000000000000002E-4</v>
      </c>
      <c r="O53" s="41">
        <f t="shared" si="19"/>
        <v>-4.1932453150824177E-4</v>
      </c>
      <c r="P53" s="50">
        <f t="shared" si="20"/>
        <v>0.99839174168628986</v>
      </c>
      <c r="Q53" s="25">
        <v>0</v>
      </c>
      <c r="R53" s="25">
        <v>3</v>
      </c>
      <c r="S53" s="25">
        <v>0</v>
      </c>
      <c r="T53" s="27">
        <v>0</v>
      </c>
      <c r="V53" s="51">
        <v>-4.2000000000000002E-4</v>
      </c>
      <c r="W53" s="40">
        <f t="shared" si="21"/>
        <v>-1.1656213499284394E-4</v>
      </c>
      <c r="X53" s="51">
        <v>-4.2000000000000002E-4</v>
      </c>
      <c r="Y53" s="41">
        <f t="shared" si="22"/>
        <v>-1.1656213499284394E-4</v>
      </c>
      <c r="Z53" s="50">
        <f t="shared" si="23"/>
        <v>0.27752889284010462</v>
      </c>
      <c r="AA53" s="25">
        <v>0</v>
      </c>
      <c r="AB53" s="25">
        <v>3</v>
      </c>
      <c r="AC53" s="25">
        <v>0</v>
      </c>
      <c r="AD53" s="27">
        <v>0</v>
      </c>
      <c r="AF53" s="51">
        <v>-4.2000000000000002E-4</v>
      </c>
      <c r="AG53" s="40">
        <f t="shared" si="24"/>
        <v>3.4203285757733714E-4</v>
      </c>
      <c r="AH53" s="51">
        <v>-4.2000000000000002E-4</v>
      </c>
      <c r="AI53" s="41">
        <f t="shared" si="25"/>
        <v>3.4203285757733714E-4</v>
      </c>
      <c r="AJ53" s="50">
        <f t="shared" si="26"/>
        <v>-0.8143639466127075</v>
      </c>
      <c r="AK53" s="25">
        <v>0</v>
      </c>
      <c r="AL53" s="25">
        <v>3</v>
      </c>
      <c r="AM53" s="25">
        <v>0</v>
      </c>
      <c r="AN53" s="27">
        <v>0</v>
      </c>
      <c r="AP53" s="51">
        <v>-4.2000000000000002E-4</v>
      </c>
      <c r="AQ53" s="40">
        <f t="shared" si="27"/>
        <v>3.4336213401494112E-4</v>
      </c>
      <c r="AR53" s="51">
        <v>-4.2000000000000002E-4</v>
      </c>
      <c r="AS53" s="41">
        <f t="shared" si="28"/>
        <v>3.4336213401494112E-4</v>
      </c>
      <c r="AT53" s="50">
        <f t="shared" si="29"/>
        <v>-0.81752889051176458</v>
      </c>
      <c r="AU53" s="25">
        <v>0</v>
      </c>
      <c r="AV53" s="25">
        <v>3</v>
      </c>
      <c r="AW53" s="25">
        <v>0</v>
      </c>
      <c r="AX53" s="27">
        <v>0</v>
      </c>
    </row>
    <row r="54" spans="2:50" x14ac:dyDescent="0.15">
      <c r="B54" s="51">
        <f>0.00042*C$16</f>
        <v>4.1974265239490158E-4</v>
      </c>
      <c r="C54" s="40">
        <f t="shared" si="15"/>
        <v>-6.0808603739461058E-5</v>
      </c>
      <c r="D54" s="51">
        <f>0.00042*C$16</f>
        <v>4.1974265239490158E-4</v>
      </c>
      <c r="E54" s="41">
        <f t="shared" si="16"/>
        <v>-6.0808603739461058E-5</v>
      </c>
      <c r="F54" s="50">
        <f t="shared" si="17"/>
        <v>-0.14487115710664356</v>
      </c>
      <c r="G54" s="25">
        <v>1</v>
      </c>
      <c r="H54" s="25">
        <v>0</v>
      </c>
      <c r="I54" s="25">
        <v>2</v>
      </c>
      <c r="J54" s="27">
        <v>0</v>
      </c>
      <c r="L54" s="51">
        <f>0.00042*M$16</f>
        <v>4.1974243849803559E-4</v>
      </c>
      <c r="M54" s="40">
        <f t="shared" si="18"/>
        <v>2.1581529836338628E-4</v>
      </c>
      <c r="N54" s="51">
        <f>0.00042*M$16</f>
        <v>4.1974243849803559E-4</v>
      </c>
      <c r="O54" s="41">
        <f t="shared" si="19"/>
        <v>2.1581529836338628E-4</v>
      </c>
      <c r="P54" s="50">
        <f t="shared" si="20"/>
        <v>0.51416125359074527</v>
      </c>
      <c r="Q54" s="25">
        <v>1</v>
      </c>
      <c r="R54" s="25">
        <v>0</v>
      </c>
      <c r="S54" s="25">
        <v>2</v>
      </c>
      <c r="T54" s="27">
        <v>0</v>
      </c>
      <c r="V54" s="51">
        <f>0.00042*W$16</f>
        <v>4.1974222460091558E-4</v>
      </c>
      <c r="W54" s="40">
        <f t="shared" si="21"/>
        <v>-3.3764346979483389E-4</v>
      </c>
      <c r="X54" s="51">
        <f>0.00042*W$16</f>
        <v>4.1974222460091558E-4</v>
      </c>
      <c r="Y54" s="41">
        <f t="shared" si="22"/>
        <v>-3.3764346979483389E-4</v>
      </c>
      <c r="Z54" s="50">
        <f t="shared" si="23"/>
        <v>-0.80440672871513008</v>
      </c>
      <c r="AA54" s="25">
        <v>1</v>
      </c>
      <c r="AB54" s="25">
        <v>0</v>
      </c>
      <c r="AC54" s="25">
        <v>2</v>
      </c>
      <c r="AD54" s="27">
        <v>0</v>
      </c>
      <c r="AF54" s="51">
        <f>0.00042*AG$16</f>
        <v>4.197420107035417E-4</v>
      </c>
      <c r="AG54" s="40">
        <f t="shared" si="24"/>
        <v>4.0756389773664549E-4</v>
      </c>
      <c r="AH54" s="51">
        <f>0.00042*AG$16</f>
        <v>4.197420107035417E-4</v>
      </c>
      <c r="AI54" s="41">
        <f t="shared" si="25"/>
        <v>4.0756389773664549E-4</v>
      </c>
      <c r="AJ54" s="50">
        <f t="shared" si="26"/>
        <v>0.97098667120195059</v>
      </c>
      <c r="AK54" s="25">
        <v>1</v>
      </c>
      <c r="AL54" s="25">
        <v>0</v>
      </c>
      <c r="AM54" s="25">
        <v>2</v>
      </c>
      <c r="AN54" s="27">
        <v>0</v>
      </c>
      <c r="AP54" s="51">
        <f>0.00042*AQ$16</f>
        <v>4.1974179680591379E-4</v>
      </c>
      <c r="AQ54" s="40">
        <f t="shared" si="27"/>
        <v>-4.1482741800198181E-4</v>
      </c>
      <c r="AR54" s="51">
        <f>0.00042*AQ$16</f>
        <v>4.1974179680591379E-4</v>
      </c>
      <c r="AS54" s="41">
        <f t="shared" si="28"/>
        <v>-4.1482741800198181E-4</v>
      </c>
      <c r="AT54" s="50">
        <f t="shared" si="29"/>
        <v>-0.98829190030316572</v>
      </c>
      <c r="AU54" s="25">
        <v>1</v>
      </c>
      <c r="AV54" s="25">
        <v>0</v>
      </c>
      <c r="AW54" s="25">
        <v>2</v>
      </c>
      <c r="AX54" s="27">
        <v>0</v>
      </c>
    </row>
    <row r="55" spans="2:50" x14ac:dyDescent="0.15">
      <c r="B55" s="51">
        <f>0.00038*C$16</f>
        <v>3.7976716169062523E-4</v>
      </c>
      <c r="C55" s="40">
        <f t="shared" si="15"/>
        <v>3.2276729614840404E-4</v>
      </c>
      <c r="D55" s="51">
        <f>0.00038*C$16</f>
        <v>3.7976716169062523E-4</v>
      </c>
      <c r="E55" s="41">
        <f t="shared" si="16"/>
        <v>3.2276729614840404E-4</v>
      </c>
      <c r="F55" s="50">
        <f t="shared" si="17"/>
        <v>0.84990838784356049</v>
      </c>
      <c r="G55" s="25">
        <v>1</v>
      </c>
      <c r="H55" s="25">
        <v>0</v>
      </c>
      <c r="I55" s="25">
        <v>-2</v>
      </c>
      <c r="J55" s="27">
        <v>0</v>
      </c>
      <c r="L55" s="51">
        <f>0.00038*M$16</f>
        <v>3.7976696816488932E-4</v>
      </c>
      <c r="M55" s="40">
        <f t="shared" si="18"/>
        <v>-2.9152585026127734E-4</v>
      </c>
      <c r="N55" s="51">
        <f>0.00038*M$16</f>
        <v>3.7976696816488932E-4</v>
      </c>
      <c r="O55" s="41">
        <f t="shared" si="19"/>
        <v>-2.9152585026127734E-4</v>
      </c>
      <c r="P55" s="50">
        <f t="shared" si="20"/>
        <v>-0.76764404147624821</v>
      </c>
      <c r="Q55" s="25">
        <v>1</v>
      </c>
      <c r="R55" s="25">
        <v>0</v>
      </c>
      <c r="S55" s="25">
        <v>-2</v>
      </c>
      <c r="T55" s="27">
        <v>0</v>
      </c>
      <c r="V55" s="51">
        <f>0.00038*W$16</f>
        <v>3.7976677463892361E-4</v>
      </c>
      <c r="W55" s="40">
        <f t="shared" si="21"/>
        <v>2.5452648097978821E-4</v>
      </c>
      <c r="X55" s="51">
        <f>0.00038*W$16</f>
        <v>3.7976677463892361E-4</v>
      </c>
      <c r="Y55" s="41">
        <f t="shared" si="22"/>
        <v>2.5452648097978821E-4</v>
      </c>
      <c r="Z55" s="50">
        <f t="shared" si="23"/>
        <v>0.6702178757522641</v>
      </c>
      <c r="AA55" s="25">
        <v>1</v>
      </c>
      <c r="AB55" s="25">
        <v>0</v>
      </c>
      <c r="AC55" s="25">
        <v>-2</v>
      </c>
      <c r="AD55" s="27">
        <v>0</v>
      </c>
      <c r="AF55" s="51">
        <f>0.00038*AG$16</f>
        <v>3.7976658111272816E-4</v>
      </c>
      <c r="AG55" s="40">
        <f t="shared" si="24"/>
        <v>-2.1249997229005912E-4</v>
      </c>
      <c r="AH55" s="51">
        <f>0.00038*AG$16</f>
        <v>3.7976658111272816E-4</v>
      </c>
      <c r="AI55" s="41">
        <f t="shared" si="25"/>
        <v>-2.1249997229005912E-4</v>
      </c>
      <c r="AJ55" s="50">
        <f t="shared" si="26"/>
        <v>-0.55955416526495683</v>
      </c>
      <c r="AK55" s="25">
        <v>1</v>
      </c>
      <c r="AL55" s="25">
        <v>0</v>
      </c>
      <c r="AM55" s="25">
        <v>-2</v>
      </c>
      <c r="AN55" s="27">
        <v>0</v>
      </c>
      <c r="AP55" s="51">
        <f>0.00038*AQ$16</f>
        <v>3.7976638758630292E-4</v>
      </c>
      <c r="AQ55" s="40">
        <f t="shared" si="27"/>
        <v>1.6627639895071473E-4</v>
      </c>
      <c r="AR55" s="51">
        <f>0.00038*AQ$16</f>
        <v>3.7976638758630292E-4</v>
      </c>
      <c r="AS55" s="41">
        <f t="shared" si="28"/>
        <v>1.6627639895071473E-4</v>
      </c>
      <c r="AT55" s="50">
        <f t="shared" si="29"/>
        <v>0.43783864076945983</v>
      </c>
      <c r="AU55" s="25">
        <v>1</v>
      </c>
      <c r="AV55" s="25">
        <v>0</v>
      </c>
      <c r="AW55" s="25">
        <v>-2</v>
      </c>
      <c r="AX55" s="27">
        <v>0</v>
      </c>
    </row>
    <row r="56" spans="2:50" x14ac:dyDescent="0.15">
      <c r="B56" s="51">
        <f>-0.00024*C$16</f>
        <v>-2.3985294422565804E-4</v>
      </c>
      <c r="C56" s="40">
        <f t="shared" si="15"/>
        <v>7.5474358056331183E-5</v>
      </c>
      <c r="D56" s="51">
        <f>-0.00024*C$16</f>
        <v>-2.3985294422565804E-4</v>
      </c>
      <c r="E56" s="41">
        <f t="shared" si="16"/>
        <v>7.5474358056331183E-5</v>
      </c>
      <c r="F56" s="50">
        <f t="shared" si="17"/>
        <v>-0.31466929997458581</v>
      </c>
      <c r="G56" s="25">
        <v>-1</v>
      </c>
      <c r="H56" s="25">
        <v>2</v>
      </c>
      <c r="I56" s="25">
        <v>0</v>
      </c>
      <c r="J56" s="27">
        <v>0</v>
      </c>
      <c r="L56" s="51">
        <f>-0.00024*M$16</f>
        <v>-2.3985282199887747E-4</v>
      </c>
      <c r="M56" s="40">
        <f t="shared" si="18"/>
        <v>-5.2766343943345981E-5</v>
      </c>
      <c r="N56" s="51">
        <f>-0.00024*M$16</f>
        <v>-2.3985282199887747E-4</v>
      </c>
      <c r="O56" s="41">
        <f t="shared" si="19"/>
        <v>-5.2766343943345981E-5</v>
      </c>
      <c r="P56" s="50">
        <f t="shared" si="20"/>
        <v>0.21999467633360983</v>
      </c>
      <c r="Q56" s="25">
        <v>-1</v>
      </c>
      <c r="R56" s="25">
        <v>2</v>
      </c>
      <c r="S56" s="25">
        <v>0</v>
      </c>
      <c r="T56" s="27">
        <v>0</v>
      </c>
      <c r="V56" s="51">
        <f>-0.00024*W$16</f>
        <v>-2.3985269977195174E-4</v>
      </c>
      <c r="W56" s="40">
        <f t="shared" si="21"/>
        <v>2.9548896340497233E-5</v>
      </c>
      <c r="X56" s="51">
        <f>-0.00024*W$16</f>
        <v>-2.3985269977195174E-4</v>
      </c>
      <c r="Y56" s="41">
        <f t="shared" si="22"/>
        <v>2.9548896340497233E-5</v>
      </c>
      <c r="Z56" s="50">
        <f t="shared" si="23"/>
        <v>-0.12319601308883273</v>
      </c>
      <c r="AA56" s="25">
        <v>-1</v>
      </c>
      <c r="AB56" s="25">
        <v>2</v>
      </c>
      <c r="AC56" s="25">
        <v>0</v>
      </c>
      <c r="AD56" s="27">
        <v>0</v>
      </c>
      <c r="AF56" s="51">
        <f>-0.00024*AG$16</f>
        <v>-2.3985257754488096E-4</v>
      </c>
      <c r="AG56" s="40">
        <f t="shared" si="24"/>
        <v>-6.0461791565741393E-6</v>
      </c>
      <c r="AH56" s="51">
        <f>-0.00024*AG$16</f>
        <v>-2.3985257754488096E-4</v>
      </c>
      <c r="AI56" s="41">
        <f t="shared" si="25"/>
        <v>-6.0461791565741393E-6</v>
      </c>
      <c r="AJ56" s="50">
        <f t="shared" si="26"/>
        <v>2.5207897361214659E-2</v>
      </c>
      <c r="AK56" s="25">
        <v>-1</v>
      </c>
      <c r="AL56" s="25">
        <v>2</v>
      </c>
      <c r="AM56" s="25">
        <v>0</v>
      </c>
      <c r="AN56" s="27">
        <v>0</v>
      </c>
      <c r="AP56" s="51">
        <f>-0.00024*AQ$16</f>
        <v>-2.3985245531766501E-4</v>
      </c>
      <c r="AQ56" s="40">
        <f t="shared" si="27"/>
        <v>-1.7514889662763885E-5</v>
      </c>
      <c r="AR56" s="51">
        <f>-0.00024*AQ$16</f>
        <v>-2.3985245531766501E-4</v>
      </c>
      <c r="AS56" s="41">
        <f t="shared" si="28"/>
        <v>-1.7514889662763885E-5</v>
      </c>
      <c r="AT56" s="50">
        <f t="shared" si="29"/>
        <v>7.3023599610714182E-2</v>
      </c>
      <c r="AU56" s="25">
        <v>-1</v>
      </c>
      <c r="AV56" s="25">
        <v>2</v>
      </c>
      <c r="AW56" s="25">
        <v>0</v>
      </c>
      <c r="AX56" s="27">
        <v>0</v>
      </c>
    </row>
    <row r="57" spans="2:50" x14ac:dyDescent="0.15">
      <c r="B57" s="51">
        <v>-1.7000000000000001E-4</v>
      </c>
      <c r="C57" s="40">
        <f t="shared" si="15"/>
        <v>-4.1369160317391242E-5</v>
      </c>
      <c r="D57" s="51">
        <v>-1.7000000000000001E-4</v>
      </c>
      <c r="E57" s="41">
        <f t="shared" si="16"/>
        <v>-4.1369160317391242E-5</v>
      </c>
      <c r="F57" s="50">
        <f t="shared" si="17"/>
        <v>0.24334800186700728</v>
      </c>
      <c r="G57" s="25">
        <v>0</v>
      </c>
      <c r="H57" s="25">
        <v>0</v>
      </c>
      <c r="I57" s="25">
        <v>0</v>
      </c>
      <c r="J57" s="27">
        <v>1</v>
      </c>
      <c r="L57" s="51">
        <v>-1.7000000000000001E-4</v>
      </c>
      <c r="M57" s="40">
        <f t="shared" si="18"/>
        <v>-4.0243136319880718E-5</v>
      </c>
      <c r="N57" s="51">
        <v>-1.7000000000000001E-4</v>
      </c>
      <c r="O57" s="41">
        <f t="shared" si="19"/>
        <v>-4.0243136319880718E-5</v>
      </c>
      <c r="P57" s="50">
        <f t="shared" si="20"/>
        <v>0.23672433129341597</v>
      </c>
      <c r="Q57" s="25">
        <v>0</v>
      </c>
      <c r="R57" s="25">
        <v>0</v>
      </c>
      <c r="S57" s="25">
        <v>0</v>
      </c>
      <c r="T57" s="27">
        <v>1</v>
      </c>
      <c r="V57" s="51">
        <v>-1.7000000000000001E-4</v>
      </c>
      <c r="W57" s="40">
        <f t="shared" si="21"/>
        <v>-3.9115238785739887E-5</v>
      </c>
      <c r="X57" s="51">
        <v>-1.7000000000000001E-4</v>
      </c>
      <c r="Y57" s="41">
        <f t="shared" si="22"/>
        <v>-3.9115238785739887E-5</v>
      </c>
      <c r="Z57" s="50">
        <f t="shared" si="23"/>
        <v>0.23008963991611694</v>
      </c>
      <c r="AA57" s="25">
        <v>0</v>
      </c>
      <c r="AB57" s="25">
        <v>0</v>
      </c>
      <c r="AC57" s="25">
        <v>0</v>
      </c>
      <c r="AD57" s="27">
        <v>1</v>
      </c>
      <c r="AF57" s="51">
        <v>-1.7000000000000001E-4</v>
      </c>
      <c r="AG57" s="40">
        <f t="shared" si="24"/>
        <v>-3.7985520224742837E-5</v>
      </c>
      <c r="AH57" s="51">
        <v>-1.7000000000000001E-4</v>
      </c>
      <c r="AI57" s="41">
        <f t="shared" si="25"/>
        <v>-3.7985520224742837E-5</v>
      </c>
      <c r="AJ57" s="50">
        <f t="shared" si="26"/>
        <v>0.22344423661613433</v>
      </c>
      <c r="AK57" s="25">
        <v>0</v>
      </c>
      <c r="AL57" s="25">
        <v>0</v>
      </c>
      <c r="AM57" s="25">
        <v>0</v>
      </c>
      <c r="AN57" s="27">
        <v>1</v>
      </c>
      <c r="AP57" s="51">
        <v>-1.7000000000000001E-4</v>
      </c>
      <c r="AQ57" s="40">
        <f t="shared" si="27"/>
        <v>-3.6854033231442144E-5</v>
      </c>
      <c r="AR57" s="51">
        <v>-1.7000000000000001E-4</v>
      </c>
      <c r="AS57" s="41">
        <f t="shared" si="28"/>
        <v>-3.6854033231442144E-5</v>
      </c>
      <c r="AT57" s="50">
        <f t="shared" si="29"/>
        <v>0.21678843077318907</v>
      </c>
      <c r="AU57" s="25">
        <v>0</v>
      </c>
      <c r="AV57" s="25">
        <v>0</v>
      </c>
      <c r="AW57" s="25">
        <v>0</v>
      </c>
      <c r="AX57" s="27">
        <v>1</v>
      </c>
    </row>
    <row r="58" spans="2:50" x14ac:dyDescent="0.15">
      <c r="B58" s="51">
        <v>-6.9999999999999994E-5</v>
      </c>
      <c r="C58" s="40">
        <f t="shared" si="15"/>
        <v>6.1226944524989037E-5</v>
      </c>
      <c r="D58" s="51">
        <v>-6.9999999999999994E-5</v>
      </c>
      <c r="E58" s="41">
        <f t="shared" si="16"/>
        <v>6.1226944524989037E-5</v>
      </c>
      <c r="F58" s="50">
        <f t="shared" si="17"/>
        <v>-0.87467063607127205</v>
      </c>
      <c r="G58" s="25">
        <v>2</v>
      </c>
      <c r="H58" s="25">
        <v>1</v>
      </c>
      <c r="I58" s="25">
        <v>0</v>
      </c>
      <c r="J58" s="27">
        <v>0</v>
      </c>
      <c r="L58" s="51">
        <v>-6.9999999999999994E-5</v>
      </c>
      <c r="M58" s="40">
        <f t="shared" si="18"/>
        <v>-5.3623812896572089E-5</v>
      </c>
      <c r="N58" s="51">
        <v>-6.9999999999999994E-5</v>
      </c>
      <c r="O58" s="41">
        <f t="shared" si="19"/>
        <v>-5.3623812896572089E-5</v>
      </c>
      <c r="P58" s="50">
        <f t="shared" si="20"/>
        <v>0.76605446995102988</v>
      </c>
      <c r="Q58" s="25">
        <v>2</v>
      </c>
      <c r="R58" s="25">
        <v>1</v>
      </c>
      <c r="S58" s="25">
        <v>0</v>
      </c>
      <c r="T58" s="27">
        <v>0</v>
      </c>
      <c r="V58" s="51">
        <v>-6.9999999999999994E-5</v>
      </c>
      <c r="W58" s="40">
        <f t="shared" si="21"/>
        <v>-2.2780752216183116E-5</v>
      </c>
      <c r="X58" s="51">
        <v>-6.9999999999999994E-5</v>
      </c>
      <c r="Y58" s="41">
        <f t="shared" si="22"/>
        <v>-2.2780752216183116E-5</v>
      </c>
      <c r="Z58" s="50">
        <f t="shared" si="23"/>
        <v>0.32543931737404452</v>
      </c>
      <c r="AA58" s="25">
        <v>2</v>
      </c>
      <c r="AB58" s="25">
        <v>1</v>
      </c>
      <c r="AC58" s="25">
        <v>0</v>
      </c>
      <c r="AD58" s="27">
        <v>0</v>
      </c>
      <c r="AF58" s="51">
        <v>-6.9999999999999994E-5</v>
      </c>
      <c r="AG58" s="40">
        <f t="shared" si="24"/>
        <v>6.9956727945750993E-5</v>
      </c>
      <c r="AH58" s="51">
        <v>-6.9999999999999994E-5</v>
      </c>
      <c r="AI58" s="41">
        <f t="shared" si="25"/>
        <v>6.9956727945750993E-5</v>
      </c>
      <c r="AJ58" s="50">
        <f t="shared" si="26"/>
        <v>-0.9993818277964428</v>
      </c>
      <c r="AK58" s="25">
        <v>2</v>
      </c>
      <c r="AL58" s="25">
        <v>1</v>
      </c>
      <c r="AM58" s="25">
        <v>0</v>
      </c>
      <c r="AN58" s="27">
        <v>0</v>
      </c>
      <c r="AP58" s="51">
        <v>-6.9999999999999994E-5</v>
      </c>
      <c r="AQ58" s="40">
        <f t="shared" si="27"/>
        <v>-2.7375506184923398E-5</v>
      </c>
      <c r="AR58" s="51">
        <v>-6.9999999999999994E-5</v>
      </c>
      <c r="AS58" s="41">
        <f t="shared" si="28"/>
        <v>-2.7375506184923398E-5</v>
      </c>
      <c r="AT58" s="50">
        <f t="shared" si="29"/>
        <v>0.39107865978462003</v>
      </c>
      <c r="AU58" s="25">
        <v>2</v>
      </c>
      <c r="AV58" s="25">
        <v>1</v>
      </c>
      <c r="AW58" s="25">
        <v>0</v>
      </c>
      <c r="AX58" s="27">
        <v>0</v>
      </c>
    </row>
    <row r="59" spans="2:50" x14ac:dyDescent="0.15">
      <c r="B59" s="51">
        <v>4.0000000000000003E-5</v>
      </c>
      <c r="C59" s="40">
        <f t="shared" si="15"/>
        <v>2.5637014251422354E-5</v>
      </c>
      <c r="D59" s="51">
        <v>4.0000000000000003E-5</v>
      </c>
      <c r="E59" s="41">
        <f t="shared" si="16"/>
        <v>2.5637014251422354E-5</v>
      </c>
      <c r="F59" s="50">
        <f t="shared" si="17"/>
        <v>0.6409253562855588</v>
      </c>
      <c r="G59" s="25">
        <v>0</v>
      </c>
      <c r="H59" s="25">
        <v>2</v>
      </c>
      <c r="I59" s="25">
        <v>-2</v>
      </c>
      <c r="J59" s="27">
        <v>0</v>
      </c>
      <c r="L59" s="51">
        <v>4.0000000000000003E-5</v>
      </c>
      <c r="M59" s="40">
        <f t="shared" si="18"/>
        <v>2.4313927132066878E-5</v>
      </c>
      <c r="N59" s="51">
        <v>4.0000000000000003E-5</v>
      </c>
      <c r="O59" s="41">
        <f t="shared" si="19"/>
        <v>2.4313927132066878E-5</v>
      </c>
      <c r="P59" s="50">
        <f t="shared" si="20"/>
        <v>0.60784817830167193</v>
      </c>
      <c r="Q59" s="25">
        <v>0</v>
      </c>
      <c r="R59" s="25">
        <v>2</v>
      </c>
      <c r="S59" s="25">
        <v>-2</v>
      </c>
      <c r="T59" s="27">
        <v>0</v>
      </c>
      <c r="V59" s="51">
        <v>4.0000000000000003E-5</v>
      </c>
      <c r="W59" s="40">
        <f t="shared" si="21"/>
        <v>2.2947227994593561E-5</v>
      </c>
      <c r="X59" s="51">
        <v>4.0000000000000003E-5</v>
      </c>
      <c r="Y59" s="41">
        <f t="shared" si="22"/>
        <v>2.2947227994593561E-5</v>
      </c>
      <c r="Z59" s="50">
        <f t="shared" si="23"/>
        <v>0.57368069986483894</v>
      </c>
      <c r="AA59" s="25">
        <v>0</v>
      </c>
      <c r="AB59" s="25">
        <v>2</v>
      </c>
      <c r="AC59" s="25">
        <v>-2</v>
      </c>
      <c r="AD59" s="27">
        <v>0</v>
      </c>
      <c r="AF59" s="51">
        <v>4.0000000000000003E-5</v>
      </c>
      <c r="AG59" s="40">
        <f t="shared" si="24"/>
        <v>2.1539368294489596E-5</v>
      </c>
      <c r="AH59" s="51">
        <v>4.0000000000000003E-5</v>
      </c>
      <c r="AI59" s="41">
        <f t="shared" si="25"/>
        <v>2.1539368294489596E-5</v>
      </c>
      <c r="AJ59" s="50">
        <f t="shared" si="26"/>
        <v>0.5384842073622399</v>
      </c>
      <c r="AK59" s="25">
        <v>0</v>
      </c>
      <c r="AL59" s="25">
        <v>2</v>
      </c>
      <c r="AM59" s="25">
        <v>-2</v>
      </c>
      <c r="AN59" s="27">
        <v>0</v>
      </c>
      <c r="AP59" s="51">
        <v>4.0000000000000003E-5</v>
      </c>
      <c r="AQ59" s="40">
        <f t="shared" si="27"/>
        <v>2.0092873317247657E-5</v>
      </c>
      <c r="AR59" s="51">
        <v>4.0000000000000003E-5</v>
      </c>
      <c r="AS59" s="41">
        <f t="shared" si="28"/>
        <v>2.0092873317247657E-5</v>
      </c>
      <c r="AT59" s="50">
        <f t="shared" si="29"/>
        <v>0.50232183293119137</v>
      </c>
      <c r="AU59" s="25">
        <v>0</v>
      </c>
      <c r="AV59" s="25">
        <v>2</v>
      </c>
      <c r="AW59" s="25">
        <v>-2</v>
      </c>
      <c r="AX59" s="27">
        <v>0</v>
      </c>
    </row>
    <row r="60" spans="2:50" x14ac:dyDescent="0.15">
      <c r="B60" s="51">
        <v>4.0000000000000003E-5</v>
      </c>
      <c r="C60" s="40">
        <f t="shared" si="15"/>
        <v>6.8065136976781532E-6</v>
      </c>
      <c r="D60" s="51">
        <v>4.0000000000000003E-5</v>
      </c>
      <c r="E60" s="41">
        <f t="shared" si="16"/>
        <v>6.8065136976781532E-6</v>
      </c>
      <c r="F60" s="50">
        <f t="shared" si="17"/>
        <v>0.17016284244195382</v>
      </c>
      <c r="G60" s="25">
        <v>3</v>
      </c>
      <c r="H60" s="25">
        <v>0</v>
      </c>
      <c r="I60" s="25">
        <v>0</v>
      </c>
      <c r="J60" s="27">
        <v>0</v>
      </c>
      <c r="L60" s="51">
        <v>4.0000000000000003E-5</v>
      </c>
      <c r="M60" s="40">
        <f t="shared" si="18"/>
        <v>2.0975075268059904E-5</v>
      </c>
      <c r="N60" s="51">
        <v>4.0000000000000003E-5</v>
      </c>
      <c r="O60" s="41">
        <f t="shared" si="19"/>
        <v>2.0975075268059904E-5</v>
      </c>
      <c r="P60" s="50">
        <f t="shared" si="20"/>
        <v>0.52437688170149754</v>
      </c>
      <c r="Q60" s="25">
        <v>3</v>
      </c>
      <c r="R60" s="25">
        <v>0</v>
      </c>
      <c r="S60" s="25">
        <v>0</v>
      </c>
      <c r="T60" s="27">
        <v>0</v>
      </c>
      <c r="V60" s="51">
        <v>4.0000000000000003E-5</v>
      </c>
      <c r="W60" s="40">
        <f t="shared" si="21"/>
        <v>3.213571154604181E-5</v>
      </c>
      <c r="X60" s="51">
        <v>4.0000000000000003E-5</v>
      </c>
      <c r="Y60" s="41">
        <f t="shared" si="22"/>
        <v>3.213571154604181E-5</v>
      </c>
      <c r="Z60" s="50">
        <f t="shared" si="23"/>
        <v>0.80339278865104524</v>
      </c>
      <c r="AA60" s="25">
        <v>3</v>
      </c>
      <c r="AB60" s="25">
        <v>0</v>
      </c>
      <c r="AC60" s="25">
        <v>0</v>
      </c>
      <c r="AD60" s="27">
        <v>0</v>
      </c>
      <c r="AF60" s="51">
        <v>4.0000000000000003E-5</v>
      </c>
      <c r="AG60" s="40">
        <f t="shared" si="24"/>
        <v>3.8687934346917474E-5</v>
      </c>
      <c r="AH60" s="51">
        <v>4.0000000000000003E-5</v>
      </c>
      <c r="AI60" s="41">
        <f t="shared" si="25"/>
        <v>3.8687934346917474E-5</v>
      </c>
      <c r="AJ60" s="50">
        <f t="shared" si="26"/>
        <v>0.9671983586729368</v>
      </c>
      <c r="AK60" s="25">
        <v>3</v>
      </c>
      <c r="AL60" s="25">
        <v>0</v>
      </c>
      <c r="AM60" s="25">
        <v>0</v>
      </c>
      <c r="AN60" s="27">
        <v>0</v>
      </c>
      <c r="AP60" s="51">
        <v>4.0000000000000003E-5</v>
      </c>
      <c r="AQ60" s="40">
        <f t="shared" si="27"/>
        <v>3.9692123839427007E-5</v>
      </c>
      <c r="AR60" s="51">
        <v>4.0000000000000003E-5</v>
      </c>
      <c r="AS60" s="41">
        <f t="shared" si="28"/>
        <v>3.9692123839427007E-5</v>
      </c>
      <c r="AT60" s="50">
        <f t="shared" si="29"/>
        <v>0.99230309598567512</v>
      </c>
      <c r="AU60" s="25">
        <v>3</v>
      </c>
      <c r="AV60" s="25">
        <v>0</v>
      </c>
      <c r="AW60" s="25">
        <v>0</v>
      </c>
      <c r="AX60" s="27">
        <v>0</v>
      </c>
    </row>
    <row r="61" spans="2:50" x14ac:dyDescent="0.15">
      <c r="B61" s="51">
        <v>3.0000000000000001E-5</v>
      </c>
      <c r="C61" s="40">
        <f t="shared" si="15"/>
        <v>2.8069948242185583E-5</v>
      </c>
      <c r="D61" s="51">
        <v>3.0000000000000001E-5</v>
      </c>
      <c r="E61" s="41">
        <f t="shared" si="16"/>
        <v>2.8069948242185583E-5</v>
      </c>
      <c r="F61" s="50">
        <f t="shared" si="17"/>
        <v>0.93566494140618606</v>
      </c>
      <c r="G61" s="25">
        <v>1</v>
      </c>
      <c r="H61" s="25">
        <v>1</v>
      </c>
      <c r="I61" s="25">
        <v>-2</v>
      </c>
      <c r="J61" s="27">
        <v>0</v>
      </c>
      <c r="L61" s="51">
        <v>3.0000000000000001E-5</v>
      </c>
      <c r="M61" s="40">
        <f t="shared" si="18"/>
        <v>9.796488887937099E-6</v>
      </c>
      <c r="N61" s="51">
        <v>3.0000000000000001E-5</v>
      </c>
      <c r="O61" s="41">
        <f t="shared" si="19"/>
        <v>9.796488887937099E-6</v>
      </c>
      <c r="P61" s="50">
        <f t="shared" si="20"/>
        <v>0.32654962959790329</v>
      </c>
      <c r="Q61" s="25">
        <v>1</v>
      </c>
      <c r="R61" s="25">
        <v>1</v>
      </c>
      <c r="S61" s="25">
        <v>-2</v>
      </c>
      <c r="T61" s="27">
        <v>0</v>
      </c>
      <c r="V61" s="51">
        <v>3.0000000000000001E-5</v>
      </c>
      <c r="W61" s="40">
        <f t="shared" si="21"/>
        <v>-2.8618615019728832E-5</v>
      </c>
      <c r="X61" s="51">
        <v>3.0000000000000001E-5</v>
      </c>
      <c r="Y61" s="41">
        <f t="shared" si="22"/>
        <v>-2.8618615019728832E-5</v>
      </c>
      <c r="Z61" s="50">
        <f t="shared" si="23"/>
        <v>-0.95395383399096101</v>
      </c>
      <c r="AA61" s="25">
        <v>1</v>
      </c>
      <c r="AB61" s="25">
        <v>1</v>
      </c>
      <c r="AC61" s="25">
        <v>-2</v>
      </c>
      <c r="AD61" s="27">
        <v>0</v>
      </c>
      <c r="AF61" s="51">
        <v>3.0000000000000001E-5</v>
      </c>
      <c r="AG61" s="40">
        <f t="shared" si="24"/>
        <v>-8.1936612372792218E-6</v>
      </c>
      <c r="AH61" s="51">
        <v>3.0000000000000001E-5</v>
      </c>
      <c r="AI61" s="41">
        <f t="shared" si="25"/>
        <v>-8.1936612372792218E-6</v>
      </c>
      <c r="AJ61" s="50">
        <f t="shared" si="26"/>
        <v>-0.27312204124264072</v>
      </c>
      <c r="AK61" s="25">
        <v>1</v>
      </c>
      <c r="AL61" s="25">
        <v>1</v>
      </c>
      <c r="AM61" s="25">
        <v>-2</v>
      </c>
      <c r="AN61" s="27">
        <v>0</v>
      </c>
      <c r="AP61" s="51">
        <v>3.0000000000000001E-5</v>
      </c>
      <c r="AQ61" s="40">
        <f t="shared" si="27"/>
        <v>2.9077513075185758E-5</v>
      </c>
      <c r="AR61" s="51">
        <v>3.0000000000000001E-5</v>
      </c>
      <c r="AS61" s="41">
        <f t="shared" si="28"/>
        <v>2.9077513075185758E-5</v>
      </c>
      <c r="AT61" s="50">
        <f t="shared" si="29"/>
        <v>0.96925043583952519</v>
      </c>
      <c r="AU61" s="25">
        <v>1</v>
      </c>
      <c r="AV61" s="25">
        <v>1</v>
      </c>
      <c r="AW61" s="25">
        <v>-2</v>
      </c>
      <c r="AX61" s="27">
        <v>0</v>
      </c>
    </row>
    <row r="62" spans="2:50" x14ac:dyDescent="0.15">
      <c r="B62" s="51">
        <v>3.0000000000000001E-5</v>
      </c>
      <c r="C62" s="40">
        <f t="shared" si="15"/>
        <v>5.2151341494317636E-6</v>
      </c>
      <c r="D62" s="51">
        <v>3.0000000000000001E-5</v>
      </c>
      <c r="E62" s="41">
        <f t="shared" si="16"/>
        <v>5.2151341494317636E-6</v>
      </c>
      <c r="F62" s="50">
        <f t="shared" si="17"/>
        <v>0.17383780498105877</v>
      </c>
      <c r="G62" s="25">
        <v>0</v>
      </c>
      <c r="H62" s="25">
        <v>2</v>
      </c>
      <c r="I62" s="25">
        <v>2</v>
      </c>
      <c r="J62" s="27">
        <v>0</v>
      </c>
      <c r="L62" s="51">
        <v>3.0000000000000001E-5</v>
      </c>
      <c r="M62" s="40">
        <f t="shared" si="18"/>
        <v>-9.386305259706267E-6</v>
      </c>
      <c r="N62" s="51">
        <v>3.0000000000000001E-5</v>
      </c>
      <c r="O62" s="41">
        <f t="shared" si="19"/>
        <v>-9.386305259706267E-6</v>
      </c>
      <c r="P62" s="50">
        <f t="shared" si="20"/>
        <v>-0.31287684199020888</v>
      </c>
      <c r="Q62" s="25">
        <v>0</v>
      </c>
      <c r="R62" s="25">
        <v>2</v>
      </c>
      <c r="S62" s="25">
        <v>2</v>
      </c>
      <c r="T62" s="27">
        <v>0</v>
      </c>
      <c r="V62" s="51">
        <v>3.0000000000000001E-5</v>
      </c>
      <c r="W62" s="40">
        <f t="shared" si="21"/>
        <v>-2.175272656867931E-5</v>
      </c>
      <c r="X62" s="51">
        <v>3.0000000000000001E-5</v>
      </c>
      <c r="Y62" s="41">
        <f t="shared" si="22"/>
        <v>-2.175272656867931E-5</v>
      </c>
      <c r="Z62" s="50">
        <f t="shared" si="23"/>
        <v>-0.72509088562264368</v>
      </c>
      <c r="AA62" s="25">
        <v>0</v>
      </c>
      <c r="AB62" s="25">
        <v>2</v>
      </c>
      <c r="AC62" s="25">
        <v>2</v>
      </c>
      <c r="AD62" s="27">
        <v>0</v>
      </c>
      <c r="AF62" s="51">
        <v>3.0000000000000001E-5</v>
      </c>
      <c r="AG62" s="40">
        <f t="shared" si="24"/>
        <v>-2.8939501970270304E-5</v>
      </c>
      <c r="AH62" s="51">
        <v>3.0000000000000001E-5</v>
      </c>
      <c r="AI62" s="41">
        <f t="shared" si="25"/>
        <v>-2.8939501970270304E-5</v>
      </c>
      <c r="AJ62" s="50">
        <f t="shared" si="26"/>
        <v>-0.96465006567567679</v>
      </c>
      <c r="AK62" s="25">
        <v>0</v>
      </c>
      <c r="AL62" s="25">
        <v>2</v>
      </c>
      <c r="AM62" s="25">
        <v>2</v>
      </c>
      <c r="AN62" s="27">
        <v>0</v>
      </c>
      <c r="AP62" s="51">
        <v>3.0000000000000001E-5</v>
      </c>
      <c r="AQ62" s="40">
        <f t="shared" si="27"/>
        <v>-2.9235353951536887E-5</v>
      </c>
      <c r="AR62" s="51">
        <v>3.0000000000000001E-5</v>
      </c>
      <c r="AS62" s="41">
        <f t="shared" si="28"/>
        <v>-2.9235353951536887E-5</v>
      </c>
      <c r="AT62" s="50">
        <f t="shared" si="29"/>
        <v>-0.97451179838456292</v>
      </c>
      <c r="AU62" s="25">
        <v>0</v>
      </c>
      <c r="AV62" s="25">
        <v>2</v>
      </c>
      <c r="AW62" s="25">
        <v>2</v>
      </c>
      <c r="AX62" s="27">
        <v>0</v>
      </c>
    </row>
    <row r="63" spans="2:50" x14ac:dyDescent="0.15">
      <c r="B63" s="51">
        <v>-3.0000000000000001E-5</v>
      </c>
      <c r="C63" s="40">
        <f t="shared" si="15"/>
        <v>2.6185688531225288E-5</v>
      </c>
      <c r="D63" s="51">
        <v>-3.0000000000000001E-5</v>
      </c>
      <c r="E63" s="41">
        <f t="shared" si="16"/>
        <v>2.6185688531225288E-5</v>
      </c>
      <c r="F63" s="50">
        <f t="shared" si="17"/>
        <v>-0.87285628437417628</v>
      </c>
      <c r="G63" s="25">
        <v>1</v>
      </c>
      <c r="H63" s="25">
        <v>1</v>
      </c>
      <c r="I63" s="25">
        <v>2</v>
      </c>
      <c r="J63" s="27">
        <v>0</v>
      </c>
      <c r="L63" s="51">
        <v>-3.0000000000000001E-5</v>
      </c>
      <c r="M63" s="40">
        <f t="shared" si="18"/>
        <v>-7.4299060032549771E-8</v>
      </c>
      <c r="N63" s="51">
        <v>-3.0000000000000001E-5</v>
      </c>
      <c r="O63" s="41">
        <f t="shared" si="19"/>
        <v>-7.4299060032549771E-8</v>
      </c>
      <c r="P63" s="50">
        <f t="shared" si="20"/>
        <v>2.4766353344183255E-3</v>
      </c>
      <c r="Q63" s="25">
        <v>1</v>
      </c>
      <c r="R63" s="25">
        <v>1</v>
      </c>
      <c r="S63" s="25">
        <v>2</v>
      </c>
      <c r="T63" s="27">
        <v>0</v>
      </c>
      <c r="V63" s="51">
        <v>-3.0000000000000001E-5</v>
      </c>
      <c r="W63" s="40">
        <f t="shared" si="21"/>
        <v>-2.6257879595966707E-5</v>
      </c>
      <c r="X63" s="51">
        <v>-3.0000000000000001E-5</v>
      </c>
      <c r="Y63" s="41">
        <f t="shared" si="22"/>
        <v>-2.6257879595966707E-5</v>
      </c>
      <c r="Z63" s="50">
        <f t="shared" si="23"/>
        <v>0.87526265319889018</v>
      </c>
      <c r="AA63" s="25">
        <v>1</v>
      </c>
      <c r="AB63" s="25">
        <v>1</v>
      </c>
      <c r="AC63" s="25">
        <v>2</v>
      </c>
      <c r="AD63" s="27">
        <v>0</v>
      </c>
      <c r="AF63" s="51">
        <v>-3.0000000000000001E-5</v>
      </c>
      <c r="AG63" s="40">
        <f t="shared" si="24"/>
        <v>-2.5438598265574379E-5</v>
      </c>
      <c r="AH63" s="51">
        <v>-3.0000000000000001E-5</v>
      </c>
      <c r="AI63" s="41">
        <f t="shared" si="25"/>
        <v>-2.5438598265574379E-5</v>
      </c>
      <c r="AJ63" s="50">
        <f t="shared" si="26"/>
        <v>0.8479532755191459</v>
      </c>
      <c r="AK63" s="25">
        <v>1</v>
      </c>
      <c r="AL63" s="25">
        <v>1</v>
      </c>
      <c r="AM63" s="25">
        <v>2</v>
      </c>
      <c r="AN63" s="27">
        <v>0</v>
      </c>
      <c r="AP63" s="51">
        <v>-3.0000000000000001E-5</v>
      </c>
      <c r="AQ63" s="40">
        <f t="shared" si="27"/>
        <v>1.5410191464844086E-6</v>
      </c>
      <c r="AR63" s="51">
        <v>-3.0000000000000001E-5</v>
      </c>
      <c r="AS63" s="41">
        <f t="shared" si="28"/>
        <v>1.5410191464844086E-6</v>
      </c>
      <c r="AT63" s="50">
        <f t="shared" si="29"/>
        <v>-5.1367304882813616E-2</v>
      </c>
      <c r="AU63" s="25">
        <v>1</v>
      </c>
      <c r="AV63" s="25">
        <v>1</v>
      </c>
      <c r="AW63" s="25">
        <v>2</v>
      </c>
      <c r="AX63" s="27">
        <v>0</v>
      </c>
    </row>
    <row r="64" spans="2:50" x14ac:dyDescent="0.15">
      <c r="B64" s="51">
        <v>3.0000000000000001E-5</v>
      </c>
      <c r="C64" s="40">
        <f t="shared" si="15"/>
        <v>-3.0000418398890965E-6</v>
      </c>
      <c r="D64" s="51">
        <v>3.0000000000000001E-5</v>
      </c>
      <c r="E64" s="41">
        <f t="shared" si="16"/>
        <v>-3.0000418398890965E-6</v>
      </c>
      <c r="F64" s="50">
        <f t="shared" si="17"/>
        <v>-0.10000139466296988</v>
      </c>
      <c r="G64" s="25">
        <v>-1</v>
      </c>
      <c r="H64" s="25">
        <v>1</v>
      </c>
      <c r="I64" s="25">
        <v>2</v>
      </c>
      <c r="J64" s="27">
        <v>0</v>
      </c>
      <c r="L64" s="51">
        <v>3.0000000000000001E-5</v>
      </c>
      <c r="M64" s="40">
        <f t="shared" si="18"/>
        <v>-2.9648939382832363E-5</v>
      </c>
      <c r="N64" s="51">
        <v>3.0000000000000001E-5</v>
      </c>
      <c r="O64" s="41">
        <f t="shared" si="19"/>
        <v>-2.9648939382832363E-5</v>
      </c>
      <c r="P64" s="50">
        <f t="shared" si="20"/>
        <v>-0.98829797942774544</v>
      </c>
      <c r="Q64" s="25">
        <v>-1</v>
      </c>
      <c r="R64" s="25">
        <v>1</v>
      </c>
      <c r="S64" s="25">
        <v>2</v>
      </c>
      <c r="T64" s="27">
        <v>0</v>
      </c>
      <c r="V64" s="51">
        <v>3.0000000000000001E-5</v>
      </c>
      <c r="W64" s="40">
        <f t="shared" si="21"/>
        <v>-1.1860133653057939E-5</v>
      </c>
      <c r="X64" s="51">
        <v>3.0000000000000001E-5</v>
      </c>
      <c r="Y64" s="41">
        <f t="shared" si="22"/>
        <v>-1.1860133653057939E-5</v>
      </c>
      <c r="Z64" s="50">
        <f t="shared" si="23"/>
        <v>-0.39533778843526463</v>
      </c>
      <c r="AA64" s="25">
        <v>-1</v>
      </c>
      <c r="AB64" s="25">
        <v>1</v>
      </c>
      <c r="AC64" s="25">
        <v>2</v>
      </c>
      <c r="AD64" s="27">
        <v>0</v>
      </c>
      <c r="AF64" s="51">
        <v>3.0000000000000001E-5</v>
      </c>
      <c r="AG64" s="40">
        <f t="shared" si="24"/>
        <v>2.3704589563471982E-5</v>
      </c>
      <c r="AH64" s="51">
        <v>3.0000000000000001E-5</v>
      </c>
      <c r="AI64" s="41">
        <f t="shared" si="25"/>
        <v>2.3704589563471982E-5</v>
      </c>
      <c r="AJ64" s="50">
        <f t="shared" si="26"/>
        <v>0.79015298544906598</v>
      </c>
      <c r="AK64" s="25">
        <v>-1</v>
      </c>
      <c r="AL64" s="25">
        <v>1</v>
      </c>
      <c r="AM64" s="25">
        <v>2</v>
      </c>
      <c r="AN64" s="27">
        <v>0</v>
      </c>
      <c r="AP64" s="51">
        <v>3.0000000000000001E-5</v>
      </c>
      <c r="AQ64" s="40">
        <f t="shared" si="27"/>
        <v>2.3740975540239037E-5</v>
      </c>
      <c r="AR64" s="51">
        <v>3.0000000000000001E-5</v>
      </c>
      <c r="AS64" s="41">
        <f t="shared" si="28"/>
        <v>2.3740975540239037E-5</v>
      </c>
      <c r="AT64" s="50">
        <f t="shared" si="29"/>
        <v>0.79136585134130122</v>
      </c>
      <c r="AU64" s="25">
        <v>-1</v>
      </c>
      <c r="AV64" s="25">
        <v>1</v>
      </c>
      <c r="AW64" s="25">
        <v>2</v>
      </c>
      <c r="AX64" s="27">
        <v>0</v>
      </c>
    </row>
    <row r="65" spans="2:50" x14ac:dyDescent="0.15">
      <c r="B65" s="51">
        <v>-2.0000000000000002E-5</v>
      </c>
      <c r="C65" s="40">
        <f t="shared" si="15"/>
        <v>1.3926435024142209E-5</v>
      </c>
      <c r="D65" s="51">
        <v>-2.0000000000000002E-5</v>
      </c>
      <c r="E65" s="41">
        <f t="shared" si="16"/>
        <v>1.3926435024142209E-5</v>
      </c>
      <c r="F65" s="50">
        <f t="shared" si="17"/>
        <v>-0.69632175120711037</v>
      </c>
      <c r="G65" s="25">
        <v>-1</v>
      </c>
      <c r="H65" s="25">
        <v>1</v>
      </c>
      <c r="I65" s="25">
        <v>-2</v>
      </c>
      <c r="J65" s="27">
        <v>0</v>
      </c>
      <c r="L65" s="51">
        <v>-2.0000000000000002E-5</v>
      </c>
      <c r="M65" s="40">
        <f t="shared" si="18"/>
        <v>-1.7663000887521993E-5</v>
      </c>
      <c r="N65" s="51">
        <v>-2.0000000000000002E-5</v>
      </c>
      <c r="O65" s="41">
        <f t="shared" si="19"/>
        <v>-1.7663000887521993E-5</v>
      </c>
      <c r="P65" s="50">
        <f t="shared" si="20"/>
        <v>0.88315004437609956</v>
      </c>
      <c r="Q65" s="25">
        <v>-1</v>
      </c>
      <c r="R65" s="25">
        <v>1</v>
      </c>
      <c r="S65" s="25">
        <v>-2</v>
      </c>
      <c r="T65" s="27">
        <v>0</v>
      </c>
      <c r="V65" s="51">
        <v>-2.0000000000000002E-5</v>
      </c>
      <c r="W65" s="40">
        <f t="shared" si="21"/>
        <v>-4.0960462352618022E-6</v>
      </c>
      <c r="X65" s="51">
        <v>-2.0000000000000002E-5</v>
      </c>
      <c r="Y65" s="41">
        <f t="shared" si="22"/>
        <v>-4.0960462352618022E-6</v>
      </c>
      <c r="Z65" s="50">
        <f t="shared" si="23"/>
        <v>0.20480231176309008</v>
      </c>
      <c r="AA65" s="25">
        <v>-1</v>
      </c>
      <c r="AB65" s="25">
        <v>1</v>
      </c>
      <c r="AC65" s="25">
        <v>-2</v>
      </c>
      <c r="AD65" s="27">
        <v>0</v>
      </c>
      <c r="AF65" s="51">
        <v>-2.0000000000000002E-5</v>
      </c>
      <c r="AG65" s="40">
        <f t="shared" si="24"/>
        <v>1.9942666004766334E-5</v>
      </c>
      <c r="AH65" s="51">
        <v>-2.0000000000000002E-5</v>
      </c>
      <c r="AI65" s="41">
        <f t="shared" si="25"/>
        <v>1.9942666004766334E-5</v>
      </c>
      <c r="AJ65" s="50">
        <f t="shared" si="26"/>
        <v>-0.9971333002383167</v>
      </c>
      <c r="AK65" s="25">
        <v>-1</v>
      </c>
      <c r="AL65" s="25">
        <v>1</v>
      </c>
      <c r="AM65" s="25">
        <v>-2</v>
      </c>
      <c r="AN65" s="27">
        <v>0</v>
      </c>
      <c r="AP65" s="51">
        <v>-2.0000000000000002E-5</v>
      </c>
      <c r="AQ65" s="40">
        <f t="shared" si="27"/>
        <v>-7.0030960642978905E-6</v>
      </c>
      <c r="AR65" s="51">
        <v>-2.0000000000000002E-5</v>
      </c>
      <c r="AS65" s="41">
        <f t="shared" si="28"/>
        <v>-7.0030960642978905E-6</v>
      </c>
      <c r="AT65" s="50">
        <f t="shared" si="29"/>
        <v>0.35015480321489451</v>
      </c>
      <c r="AU65" s="25">
        <v>-1</v>
      </c>
      <c r="AV65" s="25">
        <v>1</v>
      </c>
      <c r="AW65" s="25">
        <v>-2</v>
      </c>
      <c r="AX65" s="27">
        <v>0</v>
      </c>
    </row>
    <row r="66" spans="2:50" x14ac:dyDescent="0.15">
      <c r="B66" s="51">
        <v>-2.0000000000000002E-5</v>
      </c>
      <c r="C66" s="40">
        <f t="shared" si="15"/>
        <v>1.9655287016479706E-5</v>
      </c>
      <c r="D66" s="51">
        <v>-2.0000000000000002E-5</v>
      </c>
      <c r="E66" s="41">
        <f t="shared" si="16"/>
        <v>1.9655287016479706E-5</v>
      </c>
      <c r="F66" s="50">
        <f t="shared" si="17"/>
        <v>-0.98276435082398517</v>
      </c>
      <c r="G66" s="25">
        <v>1</v>
      </c>
      <c r="H66" s="25">
        <v>3</v>
      </c>
      <c r="I66" s="25">
        <v>0</v>
      </c>
      <c r="J66" s="27">
        <v>0</v>
      </c>
      <c r="L66" s="51">
        <v>-2.0000000000000002E-5</v>
      </c>
      <c r="M66" s="40">
        <f t="shared" si="18"/>
        <v>1.2117594674645441E-5</v>
      </c>
      <c r="N66" s="51">
        <v>-2.0000000000000002E-5</v>
      </c>
      <c r="O66" s="41">
        <f t="shared" si="19"/>
        <v>1.2117594674645441E-5</v>
      </c>
      <c r="P66" s="50">
        <f t="shared" si="20"/>
        <v>-0.605879733732272</v>
      </c>
      <c r="Q66" s="25">
        <v>1</v>
      </c>
      <c r="R66" s="25">
        <v>3</v>
      </c>
      <c r="S66" s="25">
        <v>0</v>
      </c>
      <c r="T66" s="27">
        <v>0</v>
      </c>
      <c r="V66" s="51">
        <v>-2.0000000000000002E-5</v>
      </c>
      <c r="W66" s="40">
        <f t="shared" si="21"/>
        <v>-8.7889963932624752E-6</v>
      </c>
      <c r="X66" s="51">
        <v>-2.0000000000000002E-5</v>
      </c>
      <c r="Y66" s="41">
        <f t="shared" si="22"/>
        <v>-8.7889963932624752E-6</v>
      </c>
      <c r="Z66" s="50">
        <f t="shared" si="23"/>
        <v>0.43944981966312369</v>
      </c>
      <c r="AA66" s="25">
        <v>1</v>
      </c>
      <c r="AB66" s="25">
        <v>3</v>
      </c>
      <c r="AC66" s="25">
        <v>0</v>
      </c>
      <c r="AD66" s="27">
        <v>0</v>
      </c>
      <c r="AF66" s="51">
        <v>-2.0000000000000002E-5</v>
      </c>
      <c r="AG66" s="40">
        <f t="shared" si="24"/>
        <v>-1.9999009399372203E-5</v>
      </c>
      <c r="AH66" s="51">
        <v>-2.0000000000000002E-5</v>
      </c>
      <c r="AI66" s="41">
        <f t="shared" si="25"/>
        <v>-1.9999009399372203E-5</v>
      </c>
      <c r="AJ66" s="50">
        <f t="shared" si="26"/>
        <v>0.99995046996861014</v>
      </c>
      <c r="AK66" s="25">
        <v>1</v>
      </c>
      <c r="AL66" s="25">
        <v>3</v>
      </c>
      <c r="AM66" s="25">
        <v>0</v>
      </c>
      <c r="AN66" s="27">
        <v>0</v>
      </c>
      <c r="AP66" s="51">
        <v>-2.0000000000000002E-5</v>
      </c>
      <c r="AQ66" s="40">
        <f t="shared" si="27"/>
        <v>-9.1448472595428631E-6</v>
      </c>
      <c r="AR66" s="51">
        <v>-2.0000000000000002E-5</v>
      </c>
      <c r="AS66" s="41">
        <f t="shared" si="28"/>
        <v>-9.1448472595428631E-6</v>
      </c>
      <c r="AT66" s="50">
        <f t="shared" si="29"/>
        <v>0.4572423629771431</v>
      </c>
      <c r="AU66" s="25">
        <v>1</v>
      </c>
      <c r="AV66" s="25">
        <v>3</v>
      </c>
      <c r="AW66" s="25">
        <v>0</v>
      </c>
      <c r="AX66" s="27">
        <v>0</v>
      </c>
    </row>
    <row r="67" spans="2:50" x14ac:dyDescent="0.15">
      <c r="B67" s="49">
        <v>2.0000000000000002E-5</v>
      </c>
      <c r="C67" s="38">
        <f t="shared" si="15"/>
        <v>-9.9545672115491155E-6</v>
      </c>
      <c r="D67" s="49">
        <v>2.0000000000000002E-5</v>
      </c>
      <c r="E67" s="39">
        <f t="shared" si="16"/>
        <v>-9.9545672115491155E-6</v>
      </c>
      <c r="F67" s="48">
        <f t="shared" si="17"/>
        <v>-0.49772836057745573</v>
      </c>
      <c r="G67" s="22">
        <v>0</v>
      </c>
      <c r="H67" s="22">
        <v>4</v>
      </c>
      <c r="I67" s="22">
        <v>0</v>
      </c>
      <c r="J67" s="24">
        <v>0</v>
      </c>
      <c r="L67" s="49">
        <v>2.0000000000000002E-5</v>
      </c>
      <c r="M67" s="38">
        <f t="shared" si="18"/>
        <v>-1.651542504108949E-5</v>
      </c>
      <c r="N67" s="49">
        <v>2.0000000000000002E-5</v>
      </c>
      <c r="O67" s="39">
        <f t="shared" si="19"/>
        <v>-1.651542504108949E-5</v>
      </c>
      <c r="P67" s="48">
        <f t="shared" si="20"/>
        <v>-0.82577125205447444</v>
      </c>
      <c r="Q67" s="22">
        <v>0</v>
      </c>
      <c r="R67" s="22">
        <v>4</v>
      </c>
      <c r="S67" s="22">
        <v>0</v>
      </c>
      <c r="T67" s="24">
        <v>0</v>
      </c>
      <c r="V67" s="49">
        <v>2.0000000000000002E-5</v>
      </c>
      <c r="W67" s="38">
        <f t="shared" si="21"/>
        <v>-1.9779475569687856E-5</v>
      </c>
      <c r="X67" s="49">
        <v>2.0000000000000002E-5</v>
      </c>
      <c r="Y67" s="39">
        <f t="shared" si="22"/>
        <v>-1.9779475569687856E-5</v>
      </c>
      <c r="Z67" s="48">
        <f t="shared" si="23"/>
        <v>-0.98897377848439272</v>
      </c>
      <c r="AA67" s="22">
        <v>0</v>
      </c>
      <c r="AB67" s="22">
        <v>4</v>
      </c>
      <c r="AC67" s="22">
        <v>0</v>
      </c>
      <c r="AD67" s="24">
        <v>0</v>
      </c>
      <c r="AF67" s="49">
        <v>2.0000000000000002E-5</v>
      </c>
      <c r="AG67" s="38">
        <f t="shared" si="24"/>
        <v>-1.9095149393937877E-5</v>
      </c>
      <c r="AH67" s="49">
        <v>2.0000000000000002E-5</v>
      </c>
      <c r="AI67" s="39">
        <f t="shared" si="25"/>
        <v>-1.9095149393937877E-5</v>
      </c>
      <c r="AJ67" s="48">
        <f t="shared" si="26"/>
        <v>-0.95475746969689368</v>
      </c>
      <c r="AK67" s="22">
        <v>0</v>
      </c>
      <c r="AL67" s="22">
        <v>4</v>
      </c>
      <c r="AM67" s="22">
        <v>0</v>
      </c>
      <c r="AN67" s="24">
        <v>0</v>
      </c>
      <c r="AP67" s="49">
        <v>2.0000000000000002E-5</v>
      </c>
      <c r="AQ67" s="38">
        <f t="shared" si="27"/>
        <v>-1.4599051627140267E-5</v>
      </c>
      <c r="AR67" s="49">
        <v>2.0000000000000002E-5</v>
      </c>
      <c r="AS67" s="39">
        <f t="shared" si="28"/>
        <v>-1.4599051627140267E-5</v>
      </c>
      <c r="AT67" s="48">
        <f t="shared" si="29"/>
        <v>-0.72995258135701324</v>
      </c>
      <c r="AU67" s="22">
        <v>0</v>
      </c>
      <c r="AV67" s="22">
        <v>4</v>
      </c>
      <c r="AW67" s="22">
        <v>0</v>
      </c>
      <c r="AX67" s="24">
        <v>0</v>
      </c>
    </row>
    <row r="68" spans="2:50" ht="15" x14ac:dyDescent="0.2">
      <c r="C68" s="47">
        <f>SUM(C43:C67)</f>
        <v>-0.16349740677764818</v>
      </c>
      <c r="E68" s="47">
        <f>SUM(E43:E67)</f>
        <v>-0.1620156133522766</v>
      </c>
      <c r="M68" s="47">
        <f>SUM(M43:M67)</f>
        <v>-9.7940099906997313E-2</v>
      </c>
      <c r="O68" s="47">
        <f>SUM(O43:O67)</f>
        <v>-9.703782598480265E-2</v>
      </c>
      <c r="W68" s="47">
        <f>SUM(W43:W67)</f>
        <v>0.51009257491299975</v>
      </c>
      <c r="Y68" s="47">
        <f>SUM(Y43:Y67)</f>
        <v>0.50956210314146644</v>
      </c>
      <c r="AG68" s="47">
        <f>SUM(AG43:AG67)</f>
        <v>0.19900490016451997</v>
      </c>
      <c r="AI68" s="47">
        <f>SUM(AI43:AI67)</f>
        <v>0.19894723979630646</v>
      </c>
      <c r="AQ68" s="47">
        <f>SUM(AQ43:AQ67)</f>
        <v>-0.30818701624039269</v>
      </c>
      <c r="AS68" s="47">
        <f>SUM(AS43:AS67)</f>
        <v>-0.30676276961522164</v>
      </c>
    </row>
    <row r="70" spans="2:50" ht="15" x14ac:dyDescent="0.2">
      <c r="B70" s="218" t="s">
        <v>111</v>
      </c>
      <c r="C70" s="219"/>
      <c r="D70" s="56"/>
      <c r="E70" s="56"/>
      <c r="F70" s="32" t="s">
        <v>110</v>
      </c>
      <c r="G70" s="54" t="s">
        <v>47</v>
      </c>
      <c r="H70" s="54" t="s">
        <v>57</v>
      </c>
      <c r="I70" s="54" t="s">
        <v>55</v>
      </c>
      <c r="J70" s="53" t="s">
        <v>109</v>
      </c>
      <c r="L70" s="218" t="s">
        <v>111</v>
      </c>
      <c r="M70" s="219"/>
      <c r="N70" s="56"/>
      <c r="O70" s="56"/>
      <c r="P70" s="55" t="s">
        <v>110</v>
      </c>
      <c r="Q70" s="54" t="s">
        <v>47</v>
      </c>
      <c r="R70" s="54" t="s">
        <v>57</v>
      </c>
      <c r="S70" s="54" t="s">
        <v>55</v>
      </c>
      <c r="T70" s="53" t="s">
        <v>109</v>
      </c>
      <c r="V70" s="218" t="s">
        <v>111</v>
      </c>
      <c r="W70" s="219"/>
      <c r="X70" s="56"/>
      <c r="Y70" s="56"/>
      <c r="Z70" s="55" t="s">
        <v>110</v>
      </c>
      <c r="AA70" s="54" t="s">
        <v>47</v>
      </c>
      <c r="AB70" s="54" t="s">
        <v>57</v>
      </c>
      <c r="AC70" s="54" t="s">
        <v>55</v>
      </c>
      <c r="AD70" s="53" t="s">
        <v>109</v>
      </c>
      <c r="AF70" s="218" t="s">
        <v>111</v>
      </c>
      <c r="AG70" s="219"/>
      <c r="AH70" s="56"/>
      <c r="AI70" s="56"/>
      <c r="AJ70" s="55" t="s">
        <v>110</v>
      </c>
      <c r="AK70" s="54" t="s">
        <v>47</v>
      </c>
      <c r="AL70" s="54" t="s">
        <v>57</v>
      </c>
      <c r="AM70" s="54" t="s">
        <v>55</v>
      </c>
      <c r="AN70" s="53" t="s">
        <v>109</v>
      </c>
      <c r="AP70" s="218" t="s">
        <v>111</v>
      </c>
      <c r="AQ70" s="219"/>
      <c r="AR70" s="56"/>
      <c r="AS70" s="56"/>
      <c r="AT70" s="55" t="s">
        <v>110</v>
      </c>
      <c r="AU70" s="54" t="s">
        <v>47</v>
      </c>
      <c r="AV70" s="54" t="s">
        <v>57</v>
      </c>
      <c r="AW70" s="54" t="s">
        <v>55</v>
      </c>
      <c r="AX70" s="53" t="s">
        <v>109</v>
      </c>
    </row>
    <row r="71" spans="2:50" x14ac:dyDescent="0.15">
      <c r="B71" s="51">
        <v>-0.62800999999999996</v>
      </c>
      <c r="C71" s="40">
        <f t="shared" ref="C71:C95" si="30">B71*F71</f>
        <v>-0.49798320886048092</v>
      </c>
      <c r="F71" s="52">
        <f t="shared" ref="F71:F95" si="31">SIN($C$4*(G71*C$19+H71*C$20+I71*C$21+J71*C$22))</f>
        <v>0.79295426642964439</v>
      </c>
      <c r="G71" s="25">
        <v>0</v>
      </c>
      <c r="H71" s="25">
        <v>1</v>
      </c>
      <c r="I71" s="25">
        <v>0</v>
      </c>
      <c r="J71" s="27">
        <v>0</v>
      </c>
      <c r="L71" s="51">
        <v>-0.62800999999999996</v>
      </c>
      <c r="M71" s="40">
        <f t="shared" ref="M71:M95" si="32">L71*P71</f>
        <v>-0.32423143373229057</v>
      </c>
      <c r="P71" s="52">
        <f t="shared" ref="P71:P95" si="33">SIN($C$4*(Q71*M$19+R71*M$20+S71*M$21+T71*M$22))</f>
        <v>0.51628387084965299</v>
      </c>
      <c r="Q71" s="25">
        <v>0</v>
      </c>
      <c r="R71" s="25">
        <v>1</v>
      </c>
      <c r="S71" s="25">
        <v>0</v>
      </c>
      <c r="T71" s="27">
        <v>0</v>
      </c>
      <c r="V71" s="51">
        <v>-0.62800999999999996</v>
      </c>
      <c r="W71" s="40">
        <f t="shared" ref="W71:W95" si="34">V71*Z71</f>
        <v>0.57087663458246607</v>
      </c>
      <c r="Z71" s="52">
        <f t="shared" ref="Z71:Z95" si="35">SIN($C$4*(AA71*W$19+AB71*W$20+AC71*W$21+AD71*W$22))</f>
        <v>-0.90902475212570832</v>
      </c>
      <c r="AA71" s="25">
        <v>0</v>
      </c>
      <c r="AB71" s="25">
        <v>1</v>
      </c>
      <c r="AC71" s="25">
        <v>0</v>
      </c>
      <c r="AD71" s="27">
        <v>0</v>
      </c>
      <c r="AF71" s="51">
        <v>-0.62800999999999996</v>
      </c>
      <c r="AG71" s="40">
        <f t="shared" ref="AG71:AG95" si="36">AF71*AJ71</f>
        <v>0.19588745089640813</v>
      </c>
      <c r="AJ71" s="52">
        <f t="shared" ref="AJ71:AJ95" si="37">SIN($C$4*(AK71*AG$19+AL71*AG$20+AM71*AG$21+AN71*AG$22))</f>
        <v>-0.31191772566743864</v>
      </c>
      <c r="AK71" s="25">
        <v>0</v>
      </c>
      <c r="AL71" s="25">
        <v>1</v>
      </c>
      <c r="AM71" s="25">
        <v>0</v>
      </c>
      <c r="AN71" s="27">
        <v>0</v>
      </c>
      <c r="AP71" s="51">
        <v>-0.62800999999999996</v>
      </c>
      <c r="AQ71" s="40">
        <f t="shared" ref="AQ71:AQ95" si="38">AP71*AT71</f>
        <v>-0.61491587899243627</v>
      </c>
      <c r="AT71" s="52">
        <f t="shared" ref="AT71:AT95" si="39">SIN($C$4*(AU71*AQ$19+AV71*AQ$20+AW71*AQ$21+AX71*AQ$22))</f>
        <v>0.97914982085068125</v>
      </c>
      <c r="AU71" s="25">
        <v>0</v>
      </c>
      <c r="AV71" s="25">
        <v>1</v>
      </c>
      <c r="AW71" s="25">
        <v>0</v>
      </c>
      <c r="AX71" s="27">
        <v>0</v>
      </c>
    </row>
    <row r="72" spans="2:50" x14ac:dyDescent="0.15">
      <c r="B72" s="51">
        <f>0.17172*C16</f>
        <v>0.17161478159345833</v>
      </c>
      <c r="C72" s="40">
        <f t="shared" si="30"/>
        <v>0.14349317441968681</v>
      </c>
      <c r="F72" s="50">
        <f t="shared" si="31"/>
        <v>0.83613528559335093</v>
      </c>
      <c r="G72" s="25">
        <v>1</v>
      </c>
      <c r="H72" s="25">
        <v>0</v>
      </c>
      <c r="I72" s="25">
        <v>0</v>
      </c>
      <c r="J72" s="27">
        <v>0</v>
      </c>
      <c r="L72" s="51">
        <f>0.17172*M16</f>
        <v>0.17161469414019684</v>
      </c>
      <c r="M72" s="40">
        <f t="shared" si="32"/>
        <v>0.13041490375440581</v>
      </c>
      <c r="P72" s="50">
        <f t="shared" si="33"/>
        <v>0.75992853879905076</v>
      </c>
      <c r="Q72" s="25">
        <v>1</v>
      </c>
      <c r="R72" s="25">
        <v>0</v>
      </c>
      <c r="S72" s="25">
        <v>0</v>
      </c>
      <c r="T72" s="27">
        <v>0</v>
      </c>
      <c r="V72" s="51">
        <f>0.17172*W16</f>
        <v>0.17161460668683148</v>
      </c>
      <c r="W72" s="40">
        <f t="shared" si="34"/>
        <v>0.11523614084688172</v>
      </c>
      <c r="Z72" s="50">
        <f t="shared" si="35"/>
        <v>0.67148212539489005</v>
      </c>
      <c r="AA72" s="25">
        <v>1</v>
      </c>
      <c r="AB72" s="25">
        <v>0</v>
      </c>
      <c r="AC72" s="25">
        <v>0</v>
      </c>
      <c r="AD72" s="27">
        <v>0</v>
      </c>
      <c r="AF72" s="51">
        <f>0.17172*AG16</f>
        <v>0.17161451923336232</v>
      </c>
      <c r="AG72" s="40">
        <f t="shared" si="36"/>
        <v>9.8201362013323829E-2</v>
      </c>
      <c r="AJ72" s="50">
        <f t="shared" si="37"/>
        <v>0.57222059329251218</v>
      </c>
      <c r="AK72" s="25">
        <v>1</v>
      </c>
      <c r="AL72" s="25">
        <v>0</v>
      </c>
      <c r="AM72" s="25">
        <v>0</v>
      </c>
      <c r="AN72" s="27">
        <v>0</v>
      </c>
      <c r="AP72" s="51">
        <f>0.17172*AQ16</f>
        <v>0.17161443177978933</v>
      </c>
      <c r="AQ72" s="40">
        <f t="shared" si="38"/>
        <v>7.9584936927101363E-2</v>
      </c>
      <c r="AT72" s="50">
        <f t="shared" si="39"/>
        <v>0.46374268237080696</v>
      </c>
      <c r="AU72" s="25">
        <v>1</v>
      </c>
      <c r="AV72" s="25">
        <v>0</v>
      </c>
      <c r="AW72" s="25">
        <v>0</v>
      </c>
      <c r="AX72" s="27">
        <v>0</v>
      </c>
    </row>
    <row r="73" spans="2:50" x14ac:dyDescent="0.15">
      <c r="B73" s="51">
        <f>-0.01183*C16</f>
        <v>-1.1822751375789727E-2</v>
      </c>
      <c r="C73" s="40">
        <f t="shared" si="30"/>
        <v>-8.8064842831817871E-4</v>
      </c>
      <c r="F73" s="50">
        <f t="shared" si="31"/>
        <v>7.4487604477714381E-2</v>
      </c>
      <c r="G73" s="25">
        <v>1</v>
      </c>
      <c r="H73" s="25">
        <v>1</v>
      </c>
      <c r="I73" s="25">
        <v>0</v>
      </c>
      <c r="J73" s="27">
        <v>0</v>
      </c>
      <c r="L73" s="51">
        <f>-0.01183*M16</f>
        <v>-1.1822745351028003E-2</v>
      </c>
      <c r="M73" s="40">
        <f t="shared" si="32"/>
        <v>1.1662003903880867E-2</v>
      </c>
      <c r="P73" s="50">
        <f t="shared" si="33"/>
        <v>-0.98640405063506176</v>
      </c>
      <c r="Q73" s="25">
        <v>1</v>
      </c>
      <c r="R73" s="25">
        <v>1</v>
      </c>
      <c r="S73" s="25">
        <v>0</v>
      </c>
      <c r="T73" s="27">
        <v>0</v>
      </c>
      <c r="V73" s="51">
        <f>-0.01183*W16</f>
        <v>-1.1822739326259121E-2</v>
      </c>
      <c r="W73" s="40">
        <f t="shared" si="34"/>
        <v>-4.6554556324219822E-3</v>
      </c>
      <c r="Z73" s="50">
        <f t="shared" si="35"/>
        <v>0.39377131677782096</v>
      </c>
      <c r="AA73" s="25">
        <v>1</v>
      </c>
      <c r="AB73" s="25">
        <v>1</v>
      </c>
      <c r="AC73" s="25">
        <v>0</v>
      </c>
      <c r="AD73" s="27">
        <v>0</v>
      </c>
      <c r="AF73" s="51">
        <f>-0.01183*AG16</f>
        <v>-1.182273330148309E-2</v>
      </c>
      <c r="AG73" s="40">
        <f t="shared" si="36"/>
        <v>-9.4519873853954536E-3</v>
      </c>
      <c r="AJ73" s="50">
        <f t="shared" si="37"/>
        <v>0.79947564952765693</v>
      </c>
      <c r="AK73" s="25">
        <v>1</v>
      </c>
      <c r="AL73" s="25">
        <v>1</v>
      </c>
      <c r="AM73" s="25">
        <v>0</v>
      </c>
      <c r="AN73" s="27">
        <v>0</v>
      </c>
      <c r="AP73" s="51">
        <f>-0.01183*AQ16</f>
        <v>-1.1822727276699904E-2</v>
      </c>
      <c r="AQ73" s="40">
        <f t="shared" si="38"/>
        <v>9.1424308012535496E-3</v>
      </c>
      <c r="AT73" s="50">
        <f t="shared" si="39"/>
        <v>-0.77329287796998825</v>
      </c>
      <c r="AU73" s="25">
        <v>1</v>
      </c>
      <c r="AV73" s="25">
        <v>1</v>
      </c>
      <c r="AW73" s="25">
        <v>0</v>
      </c>
      <c r="AX73" s="27">
        <v>0</v>
      </c>
    </row>
    <row r="74" spans="2:50" x14ac:dyDescent="0.15">
      <c r="B74" s="51">
        <v>8.6199999999999992E-3</v>
      </c>
      <c r="C74" s="40">
        <f t="shared" si="30"/>
        <v>8.3291973160730878E-3</v>
      </c>
      <c r="F74" s="50">
        <f t="shared" si="31"/>
        <v>0.96626418979966222</v>
      </c>
      <c r="G74" s="25">
        <v>0</v>
      </c>
      <c r="H74" s="25">
        <v>2</v>
      </c>
      <c r="I74" s="25">
        <v>0</v>
      </c>
      <c r="J74" s="27">
        <v>0</v>
      </c>
      <c r="L74" s="51">
        <v>8.6199999999999992E-3</v>
      </c>
      <c r="M74" s="40">
        <f t="shared" si="32"/>
        <v>-7.6227444613921969E-3</v>
      </c>
      <c r="P74" s="50">
        <f t="shared" si="33"/>
        <v>-0.88430910224967485</v>
      </c>
      <c r="Q74" s="25">
        <v>0</v>
      </c>
      <c r="R74" s="25">
        <v>2</v>
      </c>
      <c r="S74" s="25">
        <v>0</v>
      </c>
      <c r="T74" s="27">
        <v>0</v>
      </c>
      <c r="V74" s="51">
        <v>8.6199999999999992E-3</v>
      </c>
      <c r="W74" s="40">
        <f t="shared" si="34"/>
        <v>6.5310103785255792E-3</v>
      </c>
      <c r="Z74" s="50">
        <f t="shared" si="35"/>
        <v>0.75765781653428999</v>
      </c>
      <c r="AA74" s="25">
        <v>0</v>
      </c>
      <c r="AB74" s="25">
        <v>2</v>
      </c>
      <c r="AC74" s="25">
        <v>0</v>
      </c>
      <c r="AD74" s="27">
        <v>0</v>
      </c>
      <c r="AF74" s="51">
        <v>8.6199999999999992E-3</v>
      </c>
      <c r="AG74" s="40">
        <f t="shared" si="36"/>
        <v>-5.1091752783862781E-3</v>
      </c>
      <c r="AJ74" s="50">
        <f t="shared" si="37"/>
        <v>-0.59271174923274694</v>
      </c>
      <c r="AK74" s="25">
        <v>0</v>
      </c>
      <c r="AL74" s="25">
        <v>2</v>
      </c>
      <c r="AM74" s="25">
        <v>0</v>
      </c>
      <c r="AN74" s="27">
        <v>0</v>
      </c>
      <c r="AP74" s="51">
        <v>8.6199999999999992E-3</v>
      </c>
      <c r="AQ74" s="40">
        <f t="shared" si="38"/>
        <v>3.4291038778959853E-3</v>
      </c>
      <c r="AT74" s="50">
        <f t="shared" si="39"/>
        <v>0.39780787446589161</v>
      </c>
      <c r="AU74" s="25">
        <v>0</v>
      </c>
      <c r="AV74" s="25">
        <v>2</v>
      </c>
      <c r="AW74" s="25">
        <v>0</v>
      </c>
      <c r="AX74" s="27">
        <v>0</v>
      </c>
    </row>
    <row r="75" spans="2:50" x14ac:dyDescent="0.15">
      <c r="B75" s="51">
        <v>8.0400000000000003E-3</v>
      </c>
      <c r="C75" s="40">
        <f t="shared" si="30"/>
        <v>7.2905088015823146E-3</v>
      </c>
      <c r="F75" s="50">
        <f t="shared" si="31"/>
        <v>0.90677970168934263</v>
      </c>
      <c r="G75" s="25">
        <v>0</v>
      </c>
      <c r="H75" s="25">
        <v>0</v>
      </c>
      <c r="I75" s="25">
        <v>2</v>
      </c>
      <c r="J75" s="27">
        <v>0</v>
      </c>
      <c r="L75" s="51">
        <v>8.0400000000000003E-3</v>
      </c>
      <c r="M75" s="40">
        <f t="shared" si="32"/>
        <v>-7.9273919178742443E-3</v>
      </c>
      <c r="P75" s="50">
        <f t="shared" si="33"/>
        <v>-0.98599401963610001</v>
      </c>
      <c r="Q75" s="25">
        <v>0</v>
      </c>
      <c r="R75" s="25">
        <v>0</v>
      </c>
      <c r="S75" s="25">
        <v>2</v>
      </c>
      <c r="T75" s="27">
        <v>0</v>
      </c>
      <c r="V75" s="51">
        <v>8.0400000000000003E-3</v>
      </c>
      <c r="W75" s="40">
        <f t="shared" si="34"/>
        <v>7.9997636933992079E-3</v>
      </c>
      <c r="Z75" s="50">
        <f t="shared" si="35"/>
        <v>0.99499548425363282</v>
      </c>
      <c r="AA75" s="25">
        <v>0</v>
      </c>
      <c r="AB75" s="25">
        <v>0</v>
      </c>
      <c r="AC75" s="25">
        <v>2</v>
      </c>
      <c r="AD75" s="27">
        <v>0</v>
      </c>
      <c r="AF75" s="51">
        <v>8.0400000000000003E-3</v>
      </c>
      <c r="AG75" s="40">
        <f t="shared" si="36"/>
        <v>-7.5024705179611512E-3</v>
      </c>
      <c r="AJ75" s="50">
        <f t="shared" si="37"/>
        <v>-0.93314309924889938</v>
      </c>
      <c r="AK75" s="25">
        <v>0</v>
      </c>
      <c r="AL75" s="25">
        <v>0</v>
      </c>
      <c r="AM75" s="25">
        <v>2</v>
      </c>
      <c r="AN75" s="27">
        <v>0</v>
      </c>
      <c r="AP75" s="51">
        <v>8.0400000000000003E-3</v>
      </c>
      <c r="AQ75" s="40">
        <f t="shared" si="38"/>
        <v>6.4709247491653837E-3</v>
      </c>
      <c r="AT75" s="50">
        <f t="shared" si="39"/>
        <v>0.80484138671211236</v>
      </c>
      <c r="AU75" s="25">
        <v>0</v>
      </c>
      <c r="AV75" s="25">
        <v>0</v>
      </c>
      <c r="AW75" s="25">
        <v>2</v>
      </c>
      <c r="AX75" s="27">
        <v>0</v>
      </c>
    </row>
    <row r="76" spans="2:50" x14ac:dyDescent="0.15">
      <c r="B76" s="51">
        <f>0.00454*C16</f>
        <v>4.5372181949353638E-3</v>
      </c>
      <c r="C76" s="40">
        <f t="shared" si="30"/>
        <v>-4.2849277569425746E-3</v>
      </c>
      <c r="F76" s="50">
        <f t="shared" si="31"/>
        <v>-0.94439534817293846</v>
      </c>
      <c r="G76" s="25">
        <v>-1</v>
      </c>
      <c r="H76" s="25">
        <v>1</v>
      </c>
      <c r="I76" s="25">
        <v>0</v>
      </c>
      <c r="J76" s="27">
        <v>0</v>
      </c>
      <c r="L76" s="51">
        <f>0.00454*M16</f>
        <v>4.5372158828120984E-3</v>
      </c>
      <c r="M76" s="40">
        <f t="shared" si="32"/>
        <v>1.4302582827221712E-3</v>
      </c>
      <c r="P76" s="50">
        <f t="shared" si="33"/>
        <v>0.31522817508866663</v>
      </c>
      <c r="Q76" s="25">
        <v>-1</v>
      </c>
      <c r="R76" s="25">
        <v>1</v>
      </c>
      <c r="S76" s="25">
        <v>0</v>
      </c>
      <c r="T76" s="27">
        <v>0</v>
      </c>
      <c r="V76" s="51">
        <f>0.00454*W16</f>
        <v>4.5372135706860869E-3</v>
      </c>
      <c r="W76" s="40">
        <f t="shared" si="34"/>
        <v>4.3259658728268882E-3</v>
      </c>
      <c r="Z76" s="50">
        <f t="shared" si="35"/>
        <v>0.95344109450257697</v>
      </c>
      <c r="AA76" s="25">
        <v>-1</v>
      </c>
      <c r="AB76" s="25">
        <v>1</v>
      </c>
      <c r="AC76" s="25">
        <v>0</v>
      </c>
      <c r="AD76" s="27">
        <v>0</v>
      </c>
      <c r="AF76" s="51">
        <f>0.00454*AG16</f>
        <v>4.5372112585573311E-3</v>
      </c>
      <c r="AG76" s="40">
        <f t="shared" si="36"/>
        <v>-1.3061195396448552E-3</v>
      </c>
      <c r="AJ76" s="50">
        <f t="shared" si="37"/>
        <v>-0.28786835463776794</v>
      </c>
      <c r="AK76" s="25">
        <v>-1</v>
      </c>
      <c r="AL76" s="25">
        <v>1</v>
      </c>
      <c r="AM76" s="25">
        <v>0</v>
      </c>
      <c r="AN76" s="27">
        <v>0</v>
      </c>
      <c r="AP76" s="51">
        <f>0.00454*AQ16</f>
        <v>4.5372089464258292E-3</v>
      </c>
      <c r="AQ76" s="40">
        <f t="shared" si="38"/>
        <v>-4.3634416795311874E-3</v>
      </c>
      <c r="AT76" s="50">
        <f t="shared" si="39"/>
        <v>-0.96170172699859324</v>
      </c>
      <c r="AU76" s="25">
        <v>-1</v>
      </c>
      <c r="AV76" s="25">
        <v>1</v>
      </c>
      <c r="AW76" s="25">
        <v>0</v>
      </c>
      <c r="AX76" s="27">
        <v>0</v>
      </c>
    </row>
    <row r="77" spans="2:50" x14ac:dyDescent="0.15">
      <c r="B77" s="51">
        <f>0.00204*POWER(C16,2)</f>
        <v>2.0375008177357969E-3</v>
      </c>
      <c r="C77" s="40">
        <f t="shared" si="30"/>
        <v>-1.8689573887783592E-3</v>
      </c>
      <c r="F77" s="50">
        <f t="shared" si="31"/>
        <v>-0.91727933187053434</v>
      </c>
      <c r="G77" s="25">
        <v>2</v>
      </c>
      <c r="H77" s="25">
        <v>0</v>
      </c>
      <c r="I77" s="25">
        <v>0</v>
      </c>
      <c r="J77" s="27">
        <v>0</v>
      </c>
      <c r="L77" s="51">
        <f>0.00204*POWER(M16,2)</f>
        <v>2.0374987411542257E-3</v>
      </c>
      <c r="M77" s="40">
        <f t="shared" si="32"/>
        <v>-2.0128799972434883E-3</v>
      </c>
      <c r="P77" s="50">
        <f t="shared" si="33"/>
        <v>-0.9879171734374711</v>
      </c>
      <c r="Q77" s="25">
        <v>2</v>
      </c>
      <c r="R77" s="25">
        <v>0</v>
      </c>
      <c r="S77" s="25">
        <v>0</v>
      </c>
      <c r="T77" s="27">
        <v>0</v>
      </c>
      <c r="V77" s="51">
        <f>0.00204*POWER(W16,2)</f>
        <v>2.0374966645712467E-3</v>
      </c>
      <c r="W77" s="40">
        <f t="shared" si="34"/>
        <v>-2.0276441036749799E-3</v>
      </c>
      <c r="Z77" s="50">
        <f t="shared" si="35"/>
        <v>-0.99516437937416691</v>
      </c>
      <c r="AA77" s="25">
        <v>2</v>
      </c>
      <c r="AB77" s="25">
        <v>0</v>
      </c>
      <c r="AC77" s="25">
        <v>0</v>
      </c>
      <c r="AD77" s="27">
        <v>0</v>
      </c>
      <c r="AF77" s="51">
        <f>0.00204*POWER(AG16,2)</f>
        <v>2.037494587986861E-3</v>
      </c>
      <c r="AG77" s="40">
        <f t="shared" si="36"/>
        <v>-1.9123026195197166E-3</v>
      </c>
      <c r="AJ77" s="50">
        <f t="shared" si="37"/>
        <v>-0.93855592588796033</v>
      </c>
      <c r="AK77" s="25">
        <v>2</v>
      </c>
      <c r="AL77" s="25">
        <v>0</v>
      </c>
      <c r="AM77" s="25">
        <v>0</v>
      </c>
      <c r="AN77" s="27">
        <v>0</v>
      </c>
      <c r="AP77" s="51">
        <f>0.00204*POWER(AQ16,2)</f>
        <v>2.0374925114010674E-3</v>
      </c>
      <c r="AQ77" s="40">
        <f t="shared" si="38"/>
        <v>-1.6742567973717524E-3</v>
      </c>
      <c r="AT77" s="50">
        <f t="shared" si="39"/>
        <v>-0.82172414769782953</v>
      </c>
      <c r="AU77" s="25">
        <v>2</v>
      </c>
      <c r="AV77" s="25">
        <v>0</v>
      </c>
      <c r="AW77" s="25">
        <v>0</v>
      </c>
      <c r="AX77" s="27">
        <v>0</v>
      </c>
    </row>
    <row r="78" spans="2:50" x14ac:dyDescent="0.15">
      <c r="B78" s="51">
        <v>-1.8E-3</v>
      </c>
      <c r="C78" s="40">
        <f t="shared" si="30"/>
        <v>3.9270689257862E-4</v>
      </c>
      <c r="F78" s="50">
        <f t="shared" si="31"/>
        <v>-0.21817049587701112</v>
      </c>
      <c r="G78" s="25">
        <v>0</v>
      </c>
      <c r="H78" s="25">
        <v>1</v>
      </c>
      <c r="I78" s="25">
        <v>-2</v>
      </c>
      <c r="J78" s="27">
        <v>0</v>
      </c>
      <c r="L78" s="51">
        <v>-1.8E-3</v>
      </c>
      <c r="M78" s="40">
        <f t="shared" si="32"/>
        <v>1.6749517010359845E-3</v>
      </c>
      <c r="P78" s="50">
        <f t="shared" si="33"/>
        <v>-0.93052872279776921</v>
      </c>
      <c r="Q78" s="25">
        <v>0</v>
      </c>
      <c r="R78" s="25">
        <v>1</v>
      </c>
      <c r="S78" s="25">
        <v>-2</v>
      </c>
      <c r="T78" s="27">
        <v>0</v>
      </c>
      <c r="V78" s="51">
        <v>-1.8E-3</v>
      </c>
      <c r="W78" s="40">
        <f t="shared" si="34"/>
        <v>-9.0987515255372073E-4</v>
      </c>
      <c r="Z78" s="50">
        <f t="shared" si="35"/>
        <v>0.50548619586317822</v>
      </c>
      <c r="AA78" s="25">
        <v>0</v>
      </c>
      <c r="AB78" s="25">
        <v>1</v>
      </c>
      <c r="AC78" s="25">
        <v>-2</v>
      </c>
      <c r="AD78" s="27">
        <v>0</v>
      </c>
      <c r="AF78" s="51">
        <v>-1.8E-3</v>
      </c>
      <c r="AG78" s="40">
        <f t="shared" si="36"/>
        <v>-1.3940131228787041E-3</v>
      </c>
      <c r="AJ78" s="50">
        <f t="shared" si="37"/>
        <v>0.77445173493261343</v>
      </c>
      <c r="AK78" s="25">
        <v>0</v>
      </c>
      <c r="AL78" s="25">
        <v>1</v>
      </c>
      <c r="AM78" s="25">
        <v>-2</v>
      </c>
      <c r="AN78" s="27">
        <v>0</v>
      </c>
      <c r="AP78" s="51">
        <v>-1.8E-3</v>
      </c>
      <c r="AQ78" s="40">
        <f t="shared" si="38"/>
        <v>1.3402991107579637E-3</v>
      </c>
      <c r="AT78" s="50">
        <f t="shared" si="39"/>
        <v>-0.74461061708775766</v>
      </c>
      <c r="AU78" s="25">
        <v>0</v>
      </c>
      <c r="AV78" s="25">
        <v>1</v>
      </c>
      <c r="AW78" s="25">
        <v>-2</v>
      </c>
      <c r="AX78" s="27">
        <v>0</v>
      </c>
    </row>
    <row r="79" spans="2:50" x14ac:dyDescent="0.15">
      <c r="B79" s="51">
        <v>-6.9999999999999999E-4</v>
      </c>
      <c r="C79" s="40">
        <f t="shared" si="30"/>
        <v>-6.2075795619556478E-4</v>
      </c>
      <c r="F79" s="50">
        <f t="shared" si="31"/>
        <v>0.8867970802793782</v>
      </c>
      <c r="G79" s="25">
        <v>0</v>
      </c>
      <c r="H79" s="25">
        <v>1</v>
      </c>
      <c r="I79" s="25">
        <v>2</v>
      </c>
      <c r="J79" s="27">
        <v>0</v>
      </c>
      <c r="L79" s="51">
        <v>-6.9999999999999999E-4</v>
      </c>
      <c r="M79" s="40">
        <f t="shared" si="32"/>
        <v>-5.3082146517298369E-4</v>
      </c>
      <c r="P79" s="50">
        <f t="shared" si="33"/>
        <v>0.75831637881854819</v>
      </c>
      <c r="Q79" s="25">
        <v>0</v>
      </c>
      <c r="R79" s="25">
        <v>1</v>
      </c>
      <c r="S79" s="25">
        <v>2</v>
      </c>
      <c r="T79" s="27">
        <v>0</v>
      </c>
      <c r="V79" s="51">
        <v>-6.9999999999999999E-4</v>
      </c>
      <c r="W79" s="40">
        <f t="shared" si="34"/>
        <v>2.266788104863619E-4</v>
      </c>
      <c r="Z79" s="50">
        <f t="shared" si="35"/>
        <v>-0.32382687212337413</v>
      </c>
      <c r="AA79" s="25">
        <v>0</v>
      </c>
      <c r="AB79" s="25">
        <v>1</v>
      </c>
      <c r="AC79" s="25">
        <v>2</v>
      </c>
      <c r="AD79" s="27">
        <v>0</v>
      </c>
      <c r="AF79" s="51">
        <v>-6.9999999999999999E-4</v>
      </c>
      <c r="AG79" s="40">
        <f t="shared" si="36"/>
        <v>6.9910665680194563E-4</v>
      </c>
      <c r="AJ79" s="50">
        <f t="shared" si="37"/>
        <v>-0.99872379543135092</v>
      </c>
      <c r="AK79" s="25">
        <v>0</v>
      </c>
      <c r="AL79" s="25">
        <v>1</v>
      </c>
      <c r="AM79" s="25">
        <v>2</v>
      </c>
      <c r="AN79" s="27">
        <v>0</v>
      </c>
      <c r="AP79" s="51">
        <v>-6.9999999999999999E-4</v>
      </c>
      <c r="AQ79" s="40">
        <f t="shared" si="38"/>
        <v>2.9233440235706064E-4</v>
      </c>
      <c r="AT79" s="50">
        <f t="shared" si="39"/>
        <v>-0.41762057479580095</v>
      </c>
      <c r="AU79" s="25">
        <v>0</v>
      </c>
      <c r="AV79" s="25">
        <v>1</v>
      </c>
      <c r="AW79" s="25">
        <v>2</v>
      </c>
      <c r="AX79" s="27">
        <v>0</v>
      </c>
    </row>
    <row r="80" spans="2:50" x14ac:dyDescent="0.15">
      <c r="B80" s="51">
        <v>-4.0000000000000002E-4</v>
      </c>
      <c r="C80" s="40">
        <f t="shared" si="30"/>
        <v>-1.5379954620234012E-4</v>
      </c>
      <c r="F80" s="50">
        <f t="shared" si="31"/>
        <v>0.38449886550585027</v>
      </c>
      <c r="G80" s="25">
        <v>0</v>
      </c>
      <c r="H80" s="25">
        <v>3</v>
      </c>
      <c r="I80" s="25">
        <v>0</v>
      </c>
      <c r="J80" s="27">
        <v>0</v>
      </c>
      <c r="L80" s="51">
        <v>-4.0000000000000002E-4</v>
      </c>
      <c r="M80" s="40">
        <f t="shared" si="32"/>
        <v>-3.9935669667451594E-4</v>
      </c>
      <c r="P80" s="50">
        <f t="shared" si="33"/>
        <v>0.99839174168628986</v>
      </c>
      <c r="Q80" s="25">
        <v>0</v>
      </c>
      <c r="R80" s="25">
        <v>3</v>
      </c>
      <c r="S80" s="25">
        <v>0</v>
      </c>
      <c r="T80" s="27">
        <v>0</v>
      </c>
      <c r="V80" s="51">
        <v>-4.0000000000000002E-4</v>
      </c>
      <c r="W80" s="40">
        <f t="shared" si="34"/>
        <v>-1.1101155713604185E-4</v>
      </c>
      <c r="Z80" s="50">
        <f t="shared" si="35"/>
        <v>0.27752889284010462</v>
      </c>
      <c r="AA80" s="25">
        <v>0</v>
      </c>
      <c r="AB80" s="25">
        <v>3</v>
      </c>
      <c r="AC80" s="25">
        <v>0</v>
      </c>
      <c r="AD80" s="27">
        <v>0</v>
      </c>
      <c r="AF80" s="51">
        <v>-4.0000000000000002E-4</v>
      </c>
      <c r="AG80" s="40">
        <f t="shared" si="36"/>
        <v>3.2574557864508303E-4</v>
      </c>
      <c r="AJ80" s="50">
        <f t="shared" si="37"/>
        <v>-0.8143639466127075</v>
      </c>
      <c r="AK80" s="25">
        <v>0</v>
      </c>
      <c r="AL80" s="25">
        <v>3</v>
      </c>
      <c r="AM80" s="25">
        <v>0</v>
      </c>
      <c r="AN80" s="27">
        <v>0</v>
      </c>
      <c r="AP80" s="51">
        <v>-4.0000000000000002E-4</v>
      </c>
      <c r="AQ80" s="40">
        <f t="shared" si="38"/>
        <v>3.2701155620470587E-4</v>
      </c>
      <c r="AT80" s="50">
        <f t="shared" si="39"/>
        <v>-0.81752889051176458</v>
      </c>
      <c r="AU80" s="25">
        <v>0</v>
      </c>
      <c r="AV80" s="25">
        <v>3</v>
      </c>
      <c r="AW80" s="25">
        <v>0</v>
      </c>
      <c r="AX80" s="27">
        <v>0</v>
      </c>
    </row>
    <row r="81" spans="2:50" x14ac:dyDescent="0.15">
      <c r="B81" s="51">
        <f>-0.00034*C16</f>
        <v>-3.3979167098634888E-4</v>
      </c>
      <c r="C81" s="40">
        <f t="shared" si="30"/>
        <v>1.0692200724646919E-4</v>
      </c>
      <c r="F81" s="50">
        <f t="shared" si="31"/>
        <v>-0.31466929997458581</v>
      </c>
      <c r="G81" s="25">
        <v>-1</v>
      </c>
      <c r="H81" s="25">
        <v>2</v>
      </c>
      <c r="I81" s="25">
        <v>0</v>
      </c>
      <c r="J81" s="27">
        <v>0</v>
      </c>
      <c r="L81" s="51">
        <f>-0.00034*M16</f>
        <v>-3.397914978317431E-4</v>
      </c>
      <c r="M81" s="40">
        <f t="shared" si="32"/>
        <v>-7.4752320586406805E-5</v>
      </c>
      <c r="P81" s="50">
        <f t="shared" si="33"/>
        <v>0.21999467633360983</v>
      </c>
      <c r="Q81" s="25">
        <v>-1</v>
      </c>
      <c r="R81" s="25">
        <v>2</v>
      </c>
      <c r="S81" s="25">
        <v>0</v>
      </c>
      <c r="T81" s="27">
        <v>0</v>
      </c>
      <c r="V81" s="51">
        <f>-0.00034*W16</f>
        <v>-3.3979132467693165E-4</v>
      </c>
      <c r="W81" s="40">
        <f t="shared" si="34"/>
        <v>4.1860936482371084E-5</v>
      </c>
      <c r="Z81" s="50">
        <f t="shared" si="35"/>
        <v>-0.12319601308883273</v>
      </c>
      <c r="AA81" s="25">
        <v>-1</v>
      </c>
      <c r="AB81" s="25">
        <v>2</v>
      </c>
      <c r="AC81" s="25">
        <v>0</v>
      </c>
      <c r="AD81" s="27">
        <v>0</v>
      </c>
      <c r="AF81" s="51">
        <f>-0.00034*AG16</f>
        <v>-3.3979115152191468E-4</v>
      </c>
      <c r="AG81" s="40">
        <f t="shared" si="36"/>
        <v>-8.565420471813363E-6</v>
      </c>
      <c r="AJ81" s="50">
        <f t="shared" si="37"/>
        <v>2.5207897361214659E-2</v>
      </c>
      <c r="AK81" s="25">
        <v>-1</v>
      </c>
      <c r="AL81" s="25">
        <v>2</v>
      </c>
      <c r="AM81" s="25">
        <v>0</v>
      </c>
      <c r="AN81" s="27">
        <v>0</v>
      </c>
      <c r="AP81" s="51">
        <f>-0.00034*AQ16</f>
        <v>-3.397909783666921E-4</v>
      </c>
      <c r="AQ81" s="40">
        <f t="shared" si="38"/>
        <v>-2.4812760355582169E-5</v>
      </c>
      <c r="AT81" s="50">
        <f t="shared" si="39"/>
        <v>7.3023599610714182E-2</v>
      </c>
      <c r="AU81" s="25">
        <v>-1</v>
      </c>
      <c r="AV81" s="25">
        <v>2</v>
      </c>
      <c r="AW81" s="25">
        <v>0</v>
      </c>
      <c r="AX81" s="27">
        <v>0</v>
      </c>
    </row>
    <row r="82" spans="2:50" x14ac:dyDescent="0.15">
      <c r="B82" s="51">
        <f>0.00032*C16</f>
        <v>3.1980392563421073E-4</v>
      </c>
      <c r="C82" s="40">
        <f t="shared" si="30"/>
        <v>-4.6330364753875092E-5</v>
      </c>
      <c r="F82" s="50">
        <f t="shared" si="31"/>
        <v>-0.14487115710664356</v>
      </c>
      <c r="G82" s="25">
        <v>1</v>
      </c>
      <c r="H82" s="25">
        <v>0</v>
      </c>
      <c r="I82" s="25">
        <v>2</v>
      </c>
      <c r="J82" s="27">
        <v>0</v>
      </c>
      <c r="L82" s="51">
        <f>0.00032*M16</f>
        <v>3.1980376266516996E-4</v>
      </c>
      <c r="M82" s="40">
        <f t="shared" si="32"/>
        <v>1.6443070351496096E-4</v>
      </c>
      <c r="P82" s="50">
        <f t="shared" si="33"/>
        <v>0.51416125359074527</v>
      </c>
      <c r="Q82" s="25">
        <v>1</v>
      </c>
      <c r="R82" s="25">
        <v>0</v>
      </c>
      <c r="S82" s="25">
        <v>2</v>
      </c>
      <c r="T82" s="27">
        <v>0</v>
      </c>
      <c r="V82" s="51">
        <f>0.00032*W16</f>
        <v>3.1980359969593567E-4</v>
      </c>
      <c r="W82" s="40">
        <f t="shared" si="34"/>
        <v>-2.5725216746273055E-4</v>
      </c>
      <c r="Z82" s="50">
        <f t="shared" si="35"/>
        <v>-0.80440672871513008</v>
      </c>
      <c r="AA82" s="25">
        <v>1</v>
      </c>
      <c r="AB82" s="25">
        <v>0</v>
      </c>
      <c r="AC82" s="25">
        <v>2</v>
      </c>
      <c r="AD82" s="27">
        <v>0</v>
      </c>
      <c r="AF82" s="51">
        <f>0.00032*AG16</f>
        <v>3.1980343672650794E-4</v>
      </c>
      <c r="AG82" s="40">
        <f t="shared" si="36"/>
        <v>3.1052487446601556E-4</v>
      </c>
      <c r="AJ82" s="50">
        <f t="shared" si="37"/>
        <v>0.97098667120195059</v>
      </c>
      <c r="AK82" s="25">
        <v>1</v>
      </c>
      <c r="AL82" s="25">
        <v>0</v>
      </c>
      <c r="AM82" s="25">
        <v>2</v>
      </c>
      <c r="AN82" s="27">
        <v>0</v>
      </c>
      <c r="AP82" s="51">
        <f>0.00032*AQ16</f>
        <v>3.1980327375688669E-4</v>
      </c>
      <c r="AQ82" s="40">
        <f t="shared" si="38"/>
        <v>-3.160589851443671E-4</v>
      </c>
      <c r="AT82" s="50">
        <f t="shared" si="39"/>
        <v>-0.98829190030316572</v>
      </c>
      <c r="AU82" s="25">
        <v>1</v>
      </c>
      <c r="AV82" s="25">
        <v>0</v>
      </c>
      <c r="AW82" s="25">
        <v>2</v>
      </c>
      <c r="AX82" s="27">
        <v>0</v>
      </c>
    </row>
    <row r="83" spans="2:50" x14ac:dyDescent="0.15">
      <c r="B83" s="51">
        <f>0.00032*C16</f>
        <v>3.1980392563421073E-4</v>
      </c>
      <c r="C83" s="40">
        <f t="shared" si="30"/>
        <v>2.7180403886181394E-4</v>
      </c>
      <c r="F83" s="50">
        <f t="shared" si="31"/>
        <v>0.84990838784356049</v>
      </c>
      <c r="G83" s="25">
        <v>1</v>
      </c>
      <c r="H83" s="25">
        <v>0</v>
      </c>
      <c r="I83" s="25">
        <v>-2</v>
      </c>
      <c r="J83" s="27">
        <v>0</v>
      </c>
      <c r="L83" s="51">
        <f>0.00032*M16</f>
        <v>3.1980376266516996E-4</v>
      </c>
      <c r="M83" s="40">
        <f t="shared" si="32"/>
        <v>-2.4549545285160195E-4</v>
      </c>
      <c r="P83" s="50">
        <f t="shared" si="33"/>
        <v>-0.76764404147624821</v>
      </c>
      <c r="Q83" s="25">
        <v>1</v>
      </c>
      <c r="R83" s="25">
        <v>0</v>
      </c>
      <c r="S83" s="25">
        <v>-2</v>
      </c>
      <c r="T83" s="27">
        <v>0</v>
      </c>
      <c r="V83" s="51">
        <f>0.00032*W16</f>
        <v>3.1980359969593567E-4</v>
      </c>
      <c r="W83" s="40">
        <f t="shared" si="34"/>
        <v>2.1433808924613742E-4</v>
      </c>
      <c r="Z83" s="50">
        <f t="shared" si="35"/>
        <v>0.6702178757522641</v>
      </c>
      <c r="AA83" s="25">
        <v>1</v>
      </c>
      <c r="AB83" s="25">
        <v>0</v>
      </c>
      <c r="AC83" s="25">
        <v>-2</v>
      </c>
      <c r="AD83" s="27">
        <v>0</v>
      </c>
      <c r="AF83" s="51">
        <f>0.00032*AG16</f>
        <v>3.1980343672650794E-4</v>
      </c>
      <c r="AG83" s="40">
        <f t="shared" si="36"/>
        <v>-1.7894734508636559E-4</v>
      </c>
      <c r="AJ83" s="50">
        <f t="shared" si="37"/>
        <v>-0.55955416526495683</v>
      </c>
      <c r="AK83" s="25">
        <v>1</v>
      </c>
      <c r="AL83" s="25">
        <v>0</v>
      </c>
      <c r="AM83" s="25">
        <v>-2</v>
      </c>
      <c r="AN83" s="27">
        <v>0</v>
      </c>
      <c r="AP83" s="51">
        <f>0.00032*AQ16</f>
        <v>3.1980327375688669E-4</v>
      </c>
      <c r="AQ83" s="40">
        <f t="shared" si="38"/>
        <v>1.4002223069533874E-4</v>
      </c>
      <c r="AT83" s="50">
        <f t="shared" si="39"/>
        <v>0.43783864076945983</v>
      </c>
      <c r="AU83" s="25">
        <v>1</v>
      </c>
      <c r="AV83" s="25">
        <v>0</v>
      </c>
      <c r="AW83" s="25">
        <v>-2</v>
      </c>
      <c r="AX83" s="27">
        <v>0</v>
      </c>
    </row>
    <row r="84" spans="2:50" x14ac:dyDescent="0.15">
      <c r="B84" s="51">
        <f>-0.00028*POWER(C16,2)</f>
        <v>-2.7965697498334464E-4</v>
      </c>
      <c r="C84" s="40">
        <f t="shared" si="30"/>
        <v>2.4460774419044986E-4</v>
      </c>
      <c r="F84" s="50">
        <f t="shared" si="31"/>
        <v>-0.87467063607127205</v>
      </c>
      <c r="G84" s="25">
        <v>2</v>
      </c>
      <c r="H84" s="25">
        <v>1</v>
      </c>
      <c r="I84" s="25">
        <v>0</v>
      </c>
      <c r="J84" s="27">
        <v>0</v>
      </c>
      <c r="L84" s="51">
        <f>-0.00028*POWER(M16,2)</f>
        <v>-2.7965668996234467E-4</v>
      </c>
      <c r="M84" s="40">
        <f t="shared" si="32"/>
        <v>-2.1423225739736345E-4</v>
      </c>
      <c r="P84" s="50">
        <f t="shared" si="33"/>
        <v>0.76605446995102988</v>
      </c>
      <c r="Q84" s="25">
        <v>2</v>
      </c>
      <c r="R84" s="25">
        <v>1</v>
      </c>
      <c r="S84" s="25">
        <v>0</v>
      </c>
      <c r="T84" s="27">
        <v>0</v>
      </c>
      <c r="V84" s="51">
        <f>-0.00028*POWER(W16,2)</f>
        <v>-2.7965640494115145E-4</v>
      </c>
      <c r="W84" s="40">
        <f t="shared" si="34"/>
        <v>-9.1011189523327696E-5</v>
      </c>
      <c r="Z84" s="50">
        <f t="shared" si="35"/>
        <v>0.32543931737404452</v>
      </c>
      <c r="AA84" s="25">
        <v>2</v>
      </c>
      <c r="AB84" s="25">
        <v>1</v>
      </c>
      <c r="AC84" s="25">
        <v>0</v>
      </c>
      <c r="AD84" s="27">
        <v>0</v>
      </c>
      <c r="AF84" s="51">
        <f>-0.00028*POWER(AG16,2)</f>
        <v>-2.7965611991976518E-4</v>
      </c>
      <c r="AG84" s="40">
        <f t="shared" si="36"/>
        <v>2.7948324427987613E-4</v>
      </c>
      <c r="AJ84" s="50">
        <f t="shared" si="37"/>
        <v>-0.9993818277964428</v>
      </c>
      <c r="AK84" s="25">
        <v>2</v>
      </c>
      <c r="AL84" s="25">
        <v>1</v>
      </c>
      <c r="AM84" s="25">
        <v>0</v>
      </c>
      <c r="AN84" s="27">
        <v>0</v>
      </c>
      <c r="AP84" s="51">
        <f>-0.00028*POWER(AQ16,2)</f>
        <v>-2.7965583489818565E-4</v>
      </c>
      <c r="AQ84" s="40">
        <f t="shared" si="38"/>
        <v>-1.0936742911293141E-4</v>
      </c>
      <c r="AT84" s="50">
        <f t="shared" si="39"/>
        <v>0.39107865978462003</v>
      </c>
      <c r="AU84" s="25">
        <v>2</v>
      </c>
      <c r="AV84" s="25">
        <v>1</v>
      </c>
      <c r="AW84" s="25">
        <v>0</v>
      </c>
      <c r="AX84" s="27">
        <v>0</v>
      </c>
    </row>
    <row r="85" spans="2:50" x14ac:dyDescent="0.15">
      <c r="B85" s="51">
        <f>0.00027*C16</f>
        <v>2.6983456225386526E-4</v>
      </c>
      <c r="C85" s="40">
        <f t="shared" si="30"/>
        <v>-2.0112591241713848E-4</v>
      </c>
      <c r="F85" s="50">
        <f t="shared" si="31"/>
        <v>-0.74536749754064335</v>
      </c>
      <c r="G85" s="25">
        <v>1</v>
      </c>
      <c r="H85" s="25">
        <v>2</v>
      </c>
      <c r="I85" s="25">
        <v>0</v>
      </c>
      <c r="J85" s="27">
        <v>0</v>
      </c>
      <c r="L85" s="51">
        <f>0.00027*M16</f>
        <v>2.6983442474873715E-4</v>
      </c>
      <c r="M85" s="40">
        <f t="shared" si="32"/>
        <v>2.5084317525569017E-4</v>
      </c>
      <c r="P85" s="50">
        <f t="shared" si="33"/>
        <v>0.92961887827792489</v>
      </c>
      <c r="Q85" s="25">
        <v>1</v>
      </c>
      <c r="R85" s="25">
        <v>2</v>
      </c>
      <c r="S85" s="25">
        <v>0</v>
      </c>
      <c r="T85" s="27">
        <v>0</v>
      </c>
      <c r="V85" s="51">
        <f>0.00027*W16</f>
        <v>2.6983428724344571E-4</v>
      </c>
      <c r="W85" s="40">
        <f t="shared" si="34"/>
        <v>-2.6974910520930335E-4</v>
      </c>
      <c r="Z85" s="50">
        <f t="shared" si="35"/>
        <v>-0.99968431723406048</v>
      </c>
      <c r="AA85" s="25">
        <v>1</v>
      </c>
      <c r="AB85" s="25">
        <v>2</v>
      </c>
      <c r="AC85" s="25">
        <v>0</v>
      </c>
      <c r="AD85" s="27">
        <v>0</v>
      </c>
      <c r="AF85" s="51">
        <f>0.00027*AG16</f>
        <v>2.698341497379911E-4</v>
      </c>
      <c r="AG85" s="40">
        <f t="shared" si="36"/>
        <v>2.5552150209109346E-4</v>
      </c>
      <c r="AJ85" s="50">
        <f t="shared" si="37"/>
        <v>0.94695761207098805</v>
      </c>
      <c r="AK85" s="25">
        <v>1</v>
      </c>
      <c r="AL85" s="25">
        <v>2</v>
      </c>
      <c r="AM85" s="25">
        <v>0</v>
      </c>
      <c r="AN85" s="27">
        <v>0</v>
      </c>
      <c r="AP85" s="51">
        <f>0.00027*AQ16</f>
        <v>2.6983401223237315E-4</v>
      </c>
      <c r="AQ85" s="40">
        <f t="shared" si="38"/>
        <v>-2.0990798834827958E-4</v>
      </c>
      <c r="AT85" s="50">
        <f t="shared" si="39"/>
        <v>-0.77791523244858019</v>
      </c>
      <c r="AU85" s="25">
        <v>1</v>
      </c>
      <c r="AV85" s="25">
        <v>2</v>
      </c>
      <c r="AW85" s="25">
        <v>0</v>
      </c>
      <c r="AX85" s="27">
        <v>0</v>
      </c>
    </row>
    <row r="86" spans="2:50" x14ac:dyDescent="0.15">
      <c r="B86" s="51">
        <v>-1.7000000000000001E-4</v>
      </c>
      <c r="C86" s="40">
        <f t="shared" si="30"/>
        <v>-4.1369160317391242E-5</v>
      </c>
      <c r="F86" s="50">
        <f t="shared" si="31"/>
        <v>0.24334800186700728</v>
      </c>
      <c r="G86" s="25">
        <v>0</v>
      </c>
      <c r="H86" s="25">
        <v>0</v>
      </c>
      <c r="I86" s="25">
        <v>0</v>
      </c>
      <c r="J86" s="27">
        <v>1</v>
      </c>
      <c r="L86" s="51">
        <v>-1.7000000000000001E-4</v>
      </c>
      <c r="M86" s="40">
        <f t="shared" si="32"/>
        <v>-4.0243136319880718E-5</v>
      </c>
      <c r="P86" s="50">
        <f t="shared" si="33"/>
        <v>0.23672433129341597</v>
      </c>
      <c r="Q86" s="25">
        <v>0</v>
      </c>
      <c r="R86" s="25">
        <v>0</v>
      </c>
      <c r="S86" s="25">
        <v>0</v>
      </c>
      <c r="T86" s="27">
        <v>1</v>
      </c>
      <c r="V86" s="51">
        <v>-1.7000000000000001E-4</v>
      </c>
      <c r="W86" s="40">
        <f t="shared" si="34"/>
        <v>-3.9115238785739887E-5</v>
      </c>
      <c r="Z86" s="50">
        <f t="shared" si="35"/>
        <v>0.23008963991611694</v>
      </c>
      <c r="AA86" s="25">
        <v>0</v>
      </c>
      <c r="AB86" s="25">
        <v>0</v>
      </c>
      <c r="AC86" s="25">
        <v>0</v>
      </c>
      <c r="AD86" s="27">
        <v>1</v>
      </c>
      <c r="AF86" s="51">
        <v>-1.7000000000000001E-4</v>
      </c>
      <c r="AG86" s="40">
        <f t="shared" si="36"/>
        <v>-3.7985520224742837E-5</v>
      </c>
      <c r="AJ86" s="50">
        <f t="shared" si="37"/>
        <v>0.22344423661613433</v>
      </c>
      <c r="AK86" s="25">
        <v>0</v>
      </c>
      <c r="AL86" s="25">
        <v>0</v>
      </c>
      <c r="AM86" s="25">
        <v>0</v>
      </c>
      <c r="AN86" s="27">
        <v>1</v>
      </c>
      <c r="AP86" s="51">
        <v>-1.7000000000000001E-4</v>
      </c>
      <c r="AQ86" s="40">
        <f t="shared" si="38"/>
        <v>-3.6854033231442144E-5</v>
      </c>
      <c r="AT86" s="50">
        <f t="shared" si="39"/>
        <v>0.21678843077318907</v>
      </c>
      <c r="AU86" s="25">
        <v>0</v>
      </c>
      <c r="AV86" s="25">
        <v>0</v>
      </c>
      <c r="AW86" s="25">
        <v>0</v>
      </c>
      <c r="AX86" s="27">
        <v>1</v>
      </c>
    </row>
    <row r="87" spans="2:50" x14ac:dyDescent="0.15">
      <c r="B87" s="51">
        <v>-5.0000000000000002E-5</v>
      </c>
      <c r="C87" s="40">
        <f t="shared" si="30"/>
        <v>5.0000697331484942E-6</v>
      </c>
      <c r="F87" s="50">
        <f t="shared" si="31"/>
        <v>-0.10000139466296988</v>
      </c>
      <c r="G87" s="25">
        <v>-1</v>
      </c>
      <c r="H87" s="25">
        <v>1</v>
      </c>
      <c r="I87" s="25">
        <v>2</v>
      </c>
      <c r="J87" s="27">
        <v>0</v>
      </c>
      <c r="L87" s="51">
        <v>-5.0000000000000002E-5</v>
      </c>
      <c r="M87" s="40">
        <f t="shared" si="32"/>
        <v>4.9414898971387272E-5</v>
      </c>
      <c r="P87" s="50">
        <f t="shared" si="33"/>
        <v>-0.98829797942774544</v>
      </c>
      <c r="Q87" s="25">
        <v>-1</v>
      </c>
      <c r="R87" s="25">
        <v>1</v>
      </c>
      <c r="S87" s="25">
        <v>2</v>
      </c>
      <c r="T87" s="27">
        <v>0</v>
      </c>
      <c r="V87" s="51">
        <v>-5.0000000000000002E-5</v>
      </c>
      <c r="W87" s="40">
        <f t="shared" si="34"/>
        <v>1.9766889421763233E-5</v>
      </c>
      <c r="Z87" s="50">
        <f t="shared" si="35"/>
        <v>-0.39533778843526463</v>
      </c>
      <c r="AA87" s="25">
        <v>-1</v>
      </c>
      <c r="AB87" s="25">
        <v>1</v>
      </c>
      <c r="AC87" s="25">
        <v>2</v>
      </c>
      <c r="AD87" s="27">
        <v>0</v>
      </c>
      <c r="AF87" s="51">
        <v>-5.0000000000000002E-5</v>
      </c>
      <c r="AG87" s="40">
        <f t="shared" si="36"/>
        <v>-3.9507649272453299E-5</v>
      </c>
      <c r="AJ87" s="50">
        <f t="shared" si="37"/>
        <v>0.79015298544906598</v>
      </c>
      <c r="AK87" s="25">
        <v>-1</v>
      </c>
      <c r="AL87" s="25">
        <v>1</v>
      </c>
      <c r="AM87" s="25">
        <v>2</v>
      </c>
      <c r="AN87" s="27">
        <v>0</v>
      </c>
      <c r="AP87" s="51">
        <v>-5.0000000000000002E-5</v>
      </c>
      <c r="AQ87" s="40">
        <f t="shared" si="38"/>
        <v>-3.9568292567065062E-5</v>
      </c>
      <c r="AT87" s="50">
        <f t="shared" si="39"/>
        <v>0.79136585134130122</v>
      </c>
      <c r="AU87" s="25">
        <v>-1</v>
      </c>
      <c r="AV87" s="25">
        <v>1</v>
      </c>
      <c r="AW87" s="25">
        <v>2</v>
      </c>
      <c r="AX87" s="27">
        <v>0</v>
      </c>
    </row>
    <row r="88" spans="2:50" x14ac:dyDescent="0.15">
      <c r="B88" s="51">
        <v>4.0000000000000003E-5</v>
      </c>
      <c r="C88" s="40">
        <f t="shared" si="30"/>
        <v>6.9535121992423517E-6</v>
      </c>
      <c r="F88" s="50">
        <f t="shared" si="31"/>
        <v>0.17383780498105877</v>
      </c>
      <c r="G88" s="25">
        <v>0</v>
      </c>
      <c r="H88" s="25">
        <v>2</v>
      </c>
      <c r="I88" s="25">
        <v>2</v>
      </c>
      <c r="J88" s="27">
        <v>0</v>
      </c>
      <c r="L88" s="51">
        <v>4.0000000000000003E-5</v>
      </c>
      <c r="M88" s="40">
        <f t="shared" si="32"/>
        <v>-1.2515073679608357E-5</v>
      </c>
      <c r="P88" s="50">
        <f t="shared" si="33"/>
        <v>-0.31287684199020888</v>
      </c>
      <c r="Q88" s="25">
        <v>0</v>
      </c>
      <c r="R88" s="25">
        <v>2</v>
      </c>
      <c r="S88" s="25">
        <v>2</v>
      </c>
      <c r="T88" s="27">
        <v>0</v>
      </c>
      <c r="V88" s="51">
        <v>4.0000000000000003E-5</v>
      </c>
      <c r="W88" s="40">
        <f t="shared" si="34"/>
        <v>-2.900363542490575E-5</v>
      </c>
      <c r="Z88" s="50">
        <f t="shared" si="35"/>
        <v>-0.72509088562264368</v>
      </c>
      <c r="AA88" s="25">
        <v>0</v>
      </c>
      <c r="AB88" s="25">
        <v>2</v>
      </c>
      <c r="AC88" s="25">
        <v>2</v>
      </c>
      <c r="AD88" s="27">
        <v>0</v>
      </c>
      <c r="AF88" s="51">
        <v>4.0000000000000003E-5</v>
      </c>
      <c r="AG88" s="40">
        <f t="shared" si="36"/>
        <v>-3.8586002627027074E-5</v>
      </c>
      <c r="AJ88" s="50">
        <f t="shared" si="37"/>
        <v>-0.96465006567567679</v>
      </c>
      <c r="AK88" s="25">
        <v>0</v>
      </c>
      <c r="AL88" s="25">
        <v>2</v>
      </c>
      <c r="AM88" s="25">
        <v>2</v>
      </c>
      <c r="AN88" s="27">
        <v>0</v>
      </c>
      <c r="AP88" s="51">
        <v>4.0000000000000003E-5</v>
      </c>
      <c r="AQ88" s="40">
        <f t="shared" si="38"/>
        <v>-3.898047193538252E-5</v>
      </c>
      <c r="AT88" s="50">
        <f t="shared" si="39"/>
        <v>-0.97451179838456292</v>
      </c>
      <c r="AU88" s="25">
        <v>0</v>
      </c>
      <c r="AV88" s="25">
        <v>2</v>
      </c>
      <c r="AW88" s="25">
        <v>2</v>
      </c>
      <c r="AX88" s="27">
        <v>0</v>
      </c>
    </row>
    <row r="89" spans="2:50" x14ac:dyDescent="0.15">
      <c r="B89" s="51">
        <v>-4.0000000000000003E-5</v>
      </c>
      <c r="C89" s="40">
        <f t="shared" si="30"/>
        <v>3.4914251374967057E-5</v>
      </c>
      <c r="F89" s="50">
        <f t="shared" si="31"/>
        <v>-0.87285628437417628</v>
      </c>
      <c r="G89" s="25">
        <v>1</v>
      </c>
      <c r="H89" s="25">
        <v>1</v>
      </c>
      <c r="I89" s="25">
        <v>2</v>
      </c>
      <c r="J89" s="27">
        <v>0</v>
      </c>
      <c r="L89" s="51">
        <v>-4.0000000000000003E-5</v>
      </c>
      <c r="M89" s="40">
        <f t="shared" si="32"/>
        <v>-9.9065413376733027E-8</v>
      </c>
      <c r="P89" s="50">
        <f t="shared" si="33"/>
        <v>2.4766353344183255E-3</v>
      </c>
      <c r="Q89" s="25">
        <v>1</v>
      </c>
      <c r="R89" s="25">
        <v>1</v>
      </c>
      <c r="S89" s="25">
        <v>2</v>
      </c>
      <c r="T89" s="27">
        <v>0</v>
      </c>
      <c r="V89" s="51">
        <v>-4.0000000000000003E-5</v>
      </c>
      <c r="W89" s="40">
        <f t="shared" si="34"/>
        <v>-3.5010506127955612E-5</v>
      </c>
      <c r="Z89" s="50">
        <f t="shared" si="35"/>
        <v>0.87526265319889018</v>
      </c>
      <c r="AA89" s="25">
        <v>1</v>
      </c>
      <c r="AB89" s="25">
        <v>1</v>
      </c>
      <c r="AC89" s="25">
        <v>2</v>
      </c>
      <c r="AD89" s="27">
        <v>0</v>
      </c>
      <c r="AF89" s="51">
        <v>-4.0000000000000003E-5</v>
      </c>
      <c r="AG89" s="40">
        <f t="shared" si="36"/>
        <v>-3.3918131020765841E-5</v>
      </c>
      <c r="AJ89" s="50">
        <f t="shared" si="37"/>
        <v>0.8479532755191459</v>
      </c>
      <c r="AK89" s="25">
        <v>1</v>
      </c>
      <c r="AL89" s="25">
        <v>1</v>
      </c>
      <c r="AM89" s="25">
        <v>2</v>
      </c>
      <c r="AN89" s="27">
        <v>0</v>
      </c>
      <c r="AP89" s="51">
        <v>-4.0000000000000003E-5</v>
      </c>
      <c r="AQ89" s="40">
        <f t="shared" si="38"/>
        <v>2.0546921953125447E-6</v>
      </c>
      <c r="AT89" s="50">
        <f t="shared" si="39"/>
        <v>-5.1367304882813616E-2</v>
      </c>
      <c r="AU89" s="25">
        <v>1</v>
      </c>
      <c r="AV89" s="25">
        <v>1</v>
      </c>
      <c r="AW89" s="25">
        <v>2</v>
      </c>
      <c r="AX89" s="27">
        <v>0</v>
      </c>
    </row>
    <row r="90" spans="2:50" x14ac:dyDescent="0.15">
      <c r="B90" s="51">
        <v>4.0000000000000003E-5</v>
      </c>
      <c r="C90" s="40">
        <f t="shared" si="30"/>
        <v>9.7236557515143377E-6</v>
      </c>
      <c r="F90" s="50">
        <f t="shared" si="31"/>
        <v>0.24309139378785841</v>
      </c>
      <c r="G90" s="25">
        <v>-2</v>
      </c>
      <c r="H90" s="25">
        <v>1</v>
      </c>
      <c r="I90" s="25">
        <v>0</v>
      </c>
      <c r="J90" s="27">
        <v>0</v>
      </c>
      <c r="L90" s="51">
        <v>4.0000000000000003E-5</v>
      </c>
      <c r="M90" s="40">
        <f t="shared" si="32"/>
        <v>-3.7043387074996456E-5</v>
      </c>
      <c r="P90" s="50">
        <f t="shared" si="33"/>
        <v>-0.92608467687491136</v>
      </c>
      <c r="Q90" s="25">
        <v>-2</v>
      </c>
      <c r="R90" s="25">
        <v>1</v>
      </c>
      <c r="S90" s="25">
        <v>0</v>
      </c>
      <c r="T90" s="27">
        <v>0</v>
      </c>
      <c r="V90" s="51">
        <v>4.0000000000000003E-5</v>
      </c>
      <c r="W90" s="40">
        <f t="shared" si="34"/>
        <v>-2.0160580881435624E-5</v>
      </c>
      <c r="Z90" s="50">
        <f t="shared" si="35"/>
        <v>-0.50401452203589059</v>
      </c>
      <c r="AA90" s="25">
        <v>-2</v>
      </c>
      <c r="AB90" s="25">
        <v>1</v>
      </c>
      <c r="AC90" s="25">
        <v>0</v>
      </c>
      <c r="AD90" s="27">
        <v>0</v>
      </c>
      <c r="AF90" s="51">
        <v>4.0000000000000003E-5</v>
      </c>
      <c r="AG90" s="40">
        <f t="shared" si="36"/>
        <v>3.1363170177373472E-5</v>
      </c>
      <c r="AJ90" s="50">
        <f t="shared" si="37"/>
        <v>0.78407925443433668</v>
      </c>
      <c r="AK90" s="25">
        <v>-2</v>
      </c>
      <c r="AL90" s="25">
        <v>1</v>
      </c>
      <c r="AM90" s="25">
        <v>0</v>
      </c>
      <c r="AN90" s="27">
        <v>0</v>
      </c>
      <c r="AP90" s="51">
        <v>4.0000000000000003E-5</v>
      </c>
      <c r="AQ90" s="40">
        <f t="shared" si="38"/>
        <v>2.8997112439562036E-5</v>
      </c>
      <c r="AT90" s="50">
        <f t="shared" si="39"/>
        <v>0.72492781098905079</v>
      </c>
      <c r="AU90" s="25">
        <v>-2</v>
      </c>
      <c r="AV90" s="25">
        <v>1</v>
      </c>
      <c r="AW90" s="25">
        <v>0</v>
      </c>
      <c r="AX90" s="27">
        <v>0</v>
      </c>
    </row>
    <row r="91" spans="2:50" x14ac:dyDescent="0.15">
      <c r="B91" s="51">
        <v>3.0000000000000001E-5</v>
      </c>
      <c r="C91" s="40">
        <f t="shared" si="30"/>
        <v>2.8069948242185583E-5</v>
      </c>
      <c r="F91" s="50">
        <f t="shared" si="31"/>
        <v>0.93566494140618606</v>
      </c>
      <c r="G91" s="25">
        <v>1</v>
      </c>
      <c r="H91" s="25">
        <v>1</v>
      </c>
      <c r="I91" s="25">
        <v>-2</v>
      </c>
      <c r="J91" s="27">
        <v>0</v>
      </c>
      <c r="L91" s="51">
        <v>3.0000000000000001E-5</v>
      </c>
      <c r="M91" s="40">
        <f t="shared" si="32"/>
        <v>9.796488887937099E-6</v>
      </c>
      <c r="P91" s="50">
        <f t="shared" si="33"/>
        <v>0.32654962959790329</v>
      </c>
      <c r="Q91" s="25">
        <v>1</v>
      </c>
      <c r="R91" s="25">
        <v>1</v>
      </c>
      <c r="S91" s="25">
        <v>-2</v>
      </c>
      <c r="T91" s="27">
        <v>0</v>
      </c>
      <c r="V91" s="51">
        <v>3.0000000000000001E-5</v>
      </c>
      <c r="W91" s="40">
        <f t="shared" si="34"/>
        <v>-2.8618615019728832E-5</v>
      </c>
      <c r="Z91" s="50">
        <f t="shared" si="35"/>
        <v>-0.95395383399096101</v>
      </c>
      <c r="AA91" s="25">
        <v>1</v>
      </c>
      <c r="AB91" s="25">
        <v>1</v>
      </c>
      <c r="AC91" s="25">
        <v>-2</v>
      </c>
      <c r="AD91" s="27">
        <v>0</v>
      </c>
      <c r="AF91" s="51">
        <v>3.0000000000000001E-5</v>
      </c>
      <c r="AG91" s="40">
        <f t="shared" si="36"/>
        <v>-8.1936612372792218E-6</v>
      </c>
      <c r="AJ91" s="50">
        <f t="shared" si="37"/>
        <v>-0.27312204124264072</v>
      </c>
      <c r="AK91" s="25">
        <v>1</v>
      </c>
      <c r="AL91" s="25">
        <v>1</v>
      </c>
      <c r="AM91" s="25">
        <v>-2</v>
      </c>
      <c r="AN91" s="27">
        <v>0</v>
      </c>
      <c r="AP91" s="51">
        <v>3.0000000000000001E-5</v>
      </c>
      <c r="AQ91" s="40">
        <f t="shared" si="38"/>
        <v>2.9077513075185758E-5</v>
      </c>
      <c r="AT91" s="50">
        <f t="shared" si="39"/>
        <v>0.96925043583952519</v>
      </c>
      <c r="AU91" s="25">
        <v>1</v>
      </c>
      <c r="AV91" s="25">
        <v>1</v>
      </c>
      <c r="AW91" s="25">
        <v>-2</v>
      </c>
      <c r="AX91" s="27">
        <v>0</v>
      </c>
    </row>
    <row r="92" spans="2:50" x14ac:dyDescent="0.15">
      <c r="B92" s="51">
        <v>3.0000000000000001E-5</v>
      </c>
      <c r="C92" s="40">
        <f t="shared" si="30"/>
        <v>5.1048852732586147E-6</v>
      </c>
      <c r="F92" s="50">
        <f t="shared" si="31"/>
        <v>0.17016284244195382</v>
      </c>
      <c r="G92" s="25">
        <v>3</v>
      </c>
      <c r="H92" s="25">
        <v>0</v>
      </c>
      <c r="I92" s="25">
        <v>0</v>
      </c>
      <c r="J92" s="27">
        <v>0</v>
      </c>
      <c r="L92" s="51">
        <v>3.0000000000000001E-5</v>
      </c>
      <c r="M92" s="40">
        <f t="shared" si="32"/>
        <v>1.5731306451044925E-5</v>
      </c>
      <c r="P92" s="50">
        <f t="shared" si="33"/>
        <v>0.52437688170149754</v>
      </c>
      <c r="Q92" s="25">
        <v>3</v>
      </c>
      <c r="R92" s="25">
        <v>0</v>
      </c>
      <c r="S92" s="25">
        <v>0</v>
      </c>
      <c r="T92" s="27">
        <v>0</v>
      </c>
      <c r="V92" s="51">
        <v>3.0000000000000001E-5</v>
      </c>
      <c r="W92" s="40">
        <f t="shared" si="34"/>
        <v>2.4101783659531359E-5</v>
      </c>
      <c r="Z92" s="50">
        <f t="shared" si="35"/>
        <v>0.80339278865104524</v>
      </c>
      <c r="AA92" s="25">
        <v>3</v>
      </c>
      <c r="AB92" s="25">
        <v>0</v>
      </c>
      <c r="AC92" s="25">
        <v>0</v>
      </c>
      <c r="AD92" s="27">
        <v>0</v>
      </c>
      <c r="AF92" s="51">
        <v>3.0000000000000001E-5</v>
      </c>
      <c r="AG92" s="40">
        <f t="shared" si="36"/>
        <v>2.9015950760188104E-5</v>
      </c>
      <c r="AJ92" s="50">
        <f t="shared" si="37"/>
        <v>0.9671983586729368</v>
      </c>
      <c r="AK92" s="25">
        <v>3</v>
      </c>
      <c r="AL92" s="25">
        <v>0</v>
      </c>
      <c r="AM92" s="25">
        <v>0</v>
      </c>
      <c r="AN92" s="27">
        <v>0</v>
      </c>
      <c r="AP92" s="51">
        <v>3.0000000000000001E-5</v>
      </c>
      <c r="AQ92" s="40">
        <f t="shared" si="38"/>
        <v>2.9769092879570255E-5</v>
      </c>
      <c r="AT92" s="50">
        <f t="shared" si="39"/>
        <v>0.99230309598567512</v>
      </c>
      <c r="AU92" s="25">
        <v>3</v>
      </c>
      <c r="AV92" s="25">
        <v>0</v>
      </c>
      <c r="AW92" s="25">
        <v>0</v>
      </c>
      <c r="AX92" s="27">
        <v>0</v>
      </c>
    </row>
    <row r="93" spans="2:50" x14ac:dyDescent="0.15">
      <c r="B93" s="51">
        <v>2.0000000000000002E-5</v>
      </c>
      <c r="C93" s="40">
        <f t="shared" si="30"/>
        <v>1.2818507125711177E-5</v>
      </c>
      <c r="F93" s="50">
        <f t="shared" si="31"/>
        <v>0.6409253562855588</v>
      </c>
      <c r="G93" s="25">
        <v>0</v>
      </c>
      <c r="H93" s="25">
        <v>2</v>
      </c>
      <c r="I93" s="25">
        <v>-2</v>
      </c>
      <c r="J93" s="27">
        <v>0</v>
      </c>
      <c r="L93" s="51">
        <v>2.0000000000000002E-5</v>
      </c>
      <c r="M93" s="40">
        <f t="shared" si="32"/>
        <v>1.2156963566033439E-5</v>
      </c>
      <c r="P93" s="50">
        <f t="shared" si="33"/>
        <v>0.60784817830167193</v>
      </c>
      <c r="Q93" s="25">
        <v>0</v>
      </c>
      <c r="R93" s="25">
        <v>2</v>
      </c>
      <c r="S93" s="25">
        <v>-2</v>
      </c>
      <c r="T93" s="27">
        <v>0</v>
      </c>
      <c r="V93" s="51">
        <v>2.0000000000000002E-5</v>
      </c>
      <c r="W93" s="40">
        <f t="shared" si="34"/>
        <v>1.147361399729678E-5</v>
      </c>
      <c r="Z93" s="50">
        <f t="shared" si="35"/>
        <v>0.57368069986483894</v>
      </c>
      <c r="AA93" s="25">
        <v>0</v>
      </c>
      <c r="AB93" s="25">
        <v>2</v>
      </c>
      <c r="AC93" s="25">
        <v>-2</v>
      </c>
      <c r="AD93" s="27">
        <v>0</v>
      </c>
      <c r="AF93" s="51">
        <v>2.0000000000000002E-5</v>
      </c>
      <c r="AG93" s="40">
        <f t="shared" si="36"/>
        <v>1.0769684147244798E-5</v>
      </c>
      <c r="AJ93" s="50">
        <f t="shared" si="37"/>
        <v>0.5384842073622399</v>
      </c>
      <c r="AK93" s="25">
        <v>0</v>
      </c>
      <c r="AL93" s="25">
        <v>2</v>
      </c>
      <c r="AM93" s="25">
        <v>-2</v>
      </c>
      <c r="AN93" s="27">
        <v>0</v>
      </c>
      <c r="AP93" s="51">
        <v>2.0000000000000002E-5</v>
      </c>
      <c r="AQ93" s="40">
        <f t="shared" si="38"/>
        <v>1.0046436658623829E-5</v>
      </c>
      <c r="AT93" s="50">
        <f t="shared" si="39"/>
        <v>0.50232183293119137</v>
      </c>
      <c r="AU93" s="25">
        <v>0</v>
      </c>
      <c r="AV93" s="25">
        <v>2</v>
      </c>
      <c r="AW93" s="25">
        <v>-2</v>
      </c>
      <c r="AX93" s="27">
        <v>0</v>
      </c>
    </row>
    <row r="94" spans="2:50" x14ac:dyDescent="0.15">
      <c r="B94" s="51">
        <v>2.0000000000000002E-5</v>
      </c>
      <c r="C94" s="40">
        <f t="shared" si="30"/>
        <v>-2.0000278932593977E-6</v>
      </c>
      <c r="F94" s="50">
        <f t="shared" si="31"/>
        <v>-0.10000139466296988</v>
      </c>
      <c r="G94" s="25">
        <v>-1</v>
      </c>
      <c r="H94" s="25">
        <v>1</v>
      </c>
      <c r="I94" s="25">
        <v>2</v>
      </c>
      <c r="J94" s="27">
        <v>0</v>
      </c>
      <c r="L94" s="51">
        <v>2.0000000000000002E-5</v>
      </c>
      <c r="M94" s="40">
        <f t="shared" si="32"/>
        <v>-1.9765959588554912E-5</v>
      </c>
      <c r="P94" s="50">
        <f t="shared" si="33"/>
        <v>-0.98829797942774544</v>
      </c>
      <c r="Q94" s="25">
        <v>-1</v>
      </c>
      <c r="R94" s="25">
        <v>1</v>
      </c>
      <c r="S94" s="25">
        <v>2</v>
      </c>
      <c r="T94" s="27">
        <v>0</v>
      </c>
      <c r="V94" s="51">
        <v>2.0000000000000002E-5</v>
      </c>
      <c r="W94" s="40">
        <f t="shared" si="34"/>
        <v>-7.9067557687052937E-6</v>
      </c>
      <c r="Z94" s="50">
        <f t="shared" si="35"/>
        <v>-0.39533778843526463</v>
      </c>
      <c r="AA94" s="25">
        <v>-1</v>
      </c>
      <c r="AB94" s="25">
        <v>1</v>
      </c>
      <c r="AC94" s="25">
        <v>2</v>
      </c>
      <c r="AD94" s="27">
        <v>0</v>
      </c>
      <c r="AF94" s="51">
        <v>2.0000000000000002E-5</v>
      </c>
      <c r="AG94" s="40">
        <f t="shared" si="36"/>
        <v>1.5803059708981321E-5</v>
      </c>
      <c r="AJ94" s="50">
        <f t="shared" si="37"/>
        <v>0.79015298544906598</v>
      </c>
      <c r="AK94" s="25">
        <v>-1</v>
      </c>
      <c r="AL94" s="25">
        <v>1</v>
      </c>
      <c r="AM94" s="25">
        <v>2</v>
      </c>
      <c r="AN94" s="27">
        <v>0</v>
      </c>
      <c r="AP94" s="51">
        <v>2.0000000000000002E-5</v>
      </c>
      <c r="AQ94" s="40">
        <f t="shared" si="38"/>
        <v>1.5827317026826025E-5</v>
      </c>
      <c r="AT94" s="50">
        <f t="shared" si="39"/>
        <v>0.79136585134130122</v>
      </c>
      <c r="AU94" s="25">
        <v>-1</v>
      </c>
      <c r="AV94" s="25">
        <v>1</v>
      </c>
      <c r="AW94" s="25">
        <v>2</v>
      </c>
      <c r="AX94" s="27">
        <v>0</v>
      </c>
    </row>
    <row r="95" spans="2:50" x14ac:dyDescent="0.15">
      <c r="B95" s="49">
        <v>-2.0000000000000002E-5</v>
      </c>
      <c r="C95" s="38">
        <f t="shared" si="30"/>
        <v>1.9655287016479706E-5</v>
      </c>
      <c r="F95" s="48">
        <f t="shared" si="31"/>
        <v>-0.98276435082398517</v>
      </c>
      <c r="G95" s="22">
        <v>1</v>
      </c>
      <c r="H95" s="22">
        <v>3</v>
      </c>
      <c r="I95" s="22">
        <v>0</v>
      </c>
      <c r="J95" s="24">
        <v>0</v>
      </c>
      <c r="L95" s="49">
        <v>-2.0000000000000002E-5</v>
      </c>
      <c r="M95" s="38">
        <f t="shared" si="32"/>
        <v>1.2117594674645441E-5</v>
      </c>
      <c r="P95" s="48">
        <f t="shared" si="33"/>
        <v>-0.605879733732272</v>
      </c>
      <c r="Q95" s="22">
        <v>1</v>
      </c>
      <c r="R95" s="22">
        <v>3</v>
      </c>
      <c r="S95" s="22">
        <v>0</v>
      </c>
      <c r="T95" s="24">
        <v>0</v>
      </c>
      <c r="V95" s="49">
        <v>-2.0000000000000002E-5</v>
      </c>
      <c r="W95" s="38">
        <f t="shared" si="34"/>
        <v>-8.7889963932624752E-6</v>
      </c>
      <c r="Z95" s="48">
        <f t="shared" si="35"/>
        <v>0.43944981966312369</v>
      </c>
      <c r="AA95" s="22">
        <v>1</v>
      </c>
      <c r="AB95" s="22">
        <v>3</v>
      </c>
      <c r="AC95" s="22">
        <v>0</v>
      </c>
      <c r="AD95" s="24">
        <v>0</v>
      </c>
      <c r="AF95" s="49">
        <v>-2.0000000000000002E-5</v>
      </c>
      <c r="AG95" s="38">
        <f t="shared" si="36"/>
        <v>-1.9999009399372203E-5</v>
      </c>
      <c r="AJ95" s="48">
        <f t="shared" si="37"/>
        <v>0.99995046996861014</v>
      </c>
      <c r="AK95" s="22">
        <v>1</v>
      </c>
      <c r="AL95" s="22">
        <v>3</v>
      </c>
      <c r="AM95" s="22">
        <v>0</v>
      </c>
      <c r="AN95" s="24">
        <v>0</v>
      </c>
      <c r="AP95" s="49">
        <v>-2.0000000000000002E-5</v>
      </c>
      <c r="AQ95" s="38">
        <f t="shared" si="38"/>
        <v>-9.1448472595428631E-6</v>
      </c>
      <c r="AT95" s="48">
        <f t="shared" si="39"/>
        <v>0.4572423629771431</v>
      </c>
      <c r="AU95" s="22">
        <v>1</v>
      </c>
      <c r="AV95" s="22">
        <v>3</v>
      </c>
      <c r="AW95" s="22">
        <v>0</v>
      </c>
      <c r="AX95" s="24">
        <v>0</v>
      </c>
    </row>
    <row r="96" spans="2:50" ht="15" x14ac:dyDescent="0.2">
      <c r="C96" s="47">
        <f>SUM(C71:C95)</f>
        <v>-0.34583196406536343</v>
      </c>
      <c r="M96" s="47">
        <f>SUM(M71:M95)</f>
        <v>-0.19767216615019317</v>
      </c>
      <c r="W96" s="47">
        <f>SUM(W71:W95)</f>
        <v>0.69701713226100914</v>
      </c>
      <c r="AG96" s="47">
        <f>SUM(AG71:AG95)</f>
        <v>0.26900437542768385</v>
      </c>
      <c r="AQ96" s="47">
        <f>SUM(AQ71:AQ95)</f>
        <v>-0.52089543645758751</v>
      </c>
    </row>
    <row r="98" spans="2:46" ht="15" x14ac:dyDescent="0.2">
      <c r="B98" s="37" t="s">
        <v>108</v>
      </c>
      <c r="C98" s="46"/>
      <c r="D98" s="36"/>
      <c r="L98" s="37" t="s">
        <v>108</v>
      </c>
      <c r="M98" s="46"/>
      <c r="N98" s="36"/>
      <c r="V98" s="37" t="s">
        <v>108</v>
      </c>
      <c r="W98" s="46"/>
      <c r="X98" s="36"/>
      <c r="AF98" s="37" t="s">
        <v>108</v>
      </c>
      <c r="AG98" s="46"/>
      <c r="AH98" s="36"/>
      <c r="AP98" s="37" t="s">
        <v>108</v>
      </c>
      <c r="AQ98" s="46"/>
      <c r="AR98" s="36"/>
    </row>
    <row r="99" spans="2:46" x14ac:dyDescent="0.15">
      <c r="B99" s="23" t="s">
        <v>104</v>
      </c>
      <c r="C99" s="38">
        <f>0.00306-0.00038*C16*COS($C$4*C19)+0.00026*COS($C$4*C20)-0.00002*COS($C$4*(C20-C19))+0.00002*COS($C$4*(C20+C19))+0.00002*COS($C$4*2*C21)</f>
        <v>3.4086356425738406E-3</v>
      </c>
      <c r="L99" s="23" t="s">
        <v>104</v>
      </c>
      <c r="M99" s="38">
        <f>0.00306-0.00038*M16*COS($C$4*M19)+0.00026*COS($C$4*M20)-0.00002*COS($C$4*(M20-M19))+0.00002*COS($C$4*(M20+M19))+0.00002*COS($C$4*2*M21)</f>
        <v>3.0651533242509947E-3</v>
      </c>
      <c r="V99" s="23" t="s">
        <v>104</v>
      </c>
      <c r="W99" s="38">
        <f>0.00306-0.00038*W16*COS($C$4*W19)+0.00026*COS($C$4*W20)-0.00002*COS($C$4*(W20-W19))+0.00002*COS($C$4*(W20+W19))+0.00002*COS($C$4*2*W21)</f>
        <v>3.255479465041742E-3</v>
      </c>
      <c r="AF99" s="23" t="s">
        <v>104</v>
      </c>
      <c r="AG99" s="38">
        <f>0.00306-0.00038*AG16*COS($C$4*AG19)+0.00026*COS($C$4*AG20)-0.00002*COS($C$4*(AG20-AG19))+0.00002*COS($C$4*(AG20+AG19))+0.00002*COS($C$4*2*AG21)</f>
        <v>3.6328043796421557E-3</v>
      </c>
      <c r="AP99" s="23" t="s">
        <v>104</v>
      </c>
      <c r="AQ99" s="38">
        <f>0.00306-0.00038*AQ16*COS($C$4*AQ19)+0.00026*COS($C$4*AQ20)-0.00002*COS($C$4*(AQ20-AQ19))+0.00002*COS($C$4*(AQ20+AQ19))+0.00002*COS($C$4*2*AQ21)</f>
        <v>3.4192451115330233E-3</v>
      </c>
    </row>
    <row r="101" spans="2:46" ht="15" x14ac:dyDescent="0.2">
      <c r="B101" s="45" t="s">
        <v>107</v>
      </c>
      <c r="C101" s="30" t="s">
        <v>106</v>
      </c>
      <c r="D101" s="44" t="s">
        <v>105</v>
      </c>
      <c r="E101" s="44" t="s">
        <v>104</v>
      </c>
      <c r="F101" s="31" t="s">
        <v>103</v>
      </c>
      <c r="L101" s="45" t="s">
        <v>107</v>
      </c>
      <c r="M101" s="30" t="s">
        <v>106</v>
      </c>
      <c r="N101" s="44" t="s">
        <v>105</v>
      </c>
      <c r="O101" s="44" t="s">
        <v>104</v>
      </c>
      <c r="P101" s="31" t="s">
        <v>103</v>
      </c>
      <c r="V101" s="45" t="s">
        <v>107</v>
      </c>
      <c r="W101" s="30" t="s">
        <v>106</v>
      </c>
      <c r="X101" s="44" t="s">
        <v>105</v>
      </c>
      <c r="Y101" s="44" t="s">
        <v>104</v>
      </c>
      <c r="Z101" s="31" t="s">
        <v>103</v>
      </c>
      <c r="AF101" s="45" t="s">
        <v>107</v>
      </c>
      <c r="AG101" s="30" t="s">
        <v>106</v>
      </c>
      <c r="AH101" s="44" t="s">
        <v>105</v>
      </c>
      <c r="AI101" s="44" t="s">
        <v>104</v>
      </c>
      <c r="AJ101" s="31" t="s">
        <v>103</v>
      </c>
      <c r="AP101" s="45" t="s">
        <v>107</v>
      </c>
      <c r="AQ101" s="30" t="s">
        <v>106</v>
      </c>
      <c r="AR101" s="44" t="s">
        <v>105</v>
      </c>
      <c r="AS101" s="44" t="s">
        <v>104</v>
      </c>
      <c r="AT101" s="31" t="s">
        <v>103</v>
      </c>
    </row>
    <row r="102" spans="2:46" x14ac:dyDescent="0.15">
      <c r="B102" s="33" t="s">
        <v>78</v>
      </c>
      <c r="C102" s="33">
        <v>0</v>
      </c>
      <c r="D102" s="43">
        <f>C68</f>
        <v>-0.16349740677764818</v>
      </c>
      <c r="E102" s="43">
        <v>0</v>
      </c>
      <c r="F102" s="42">
        <f>B40</f>
        <v>-3.8885329903811197E-4</v>
      </c>
      <c r="L102" s="33" t="s">
        <v>78</v>
      </c>
      <c r="M102" s="33">
        <v>0</v>
      </c>
      <c r="N102" s="43">
        <f>M68</f>
        <v>-9.7940099906997313E-2</v>
      </c>
      <c r="O102" s="43">
        <v>0</v>
      </c>
      <c r="P102" s="42">
        <f>L40</f>
        <v>-3.7701252645482264E-4</v>
      </c>
      <c r="V102" s="33" t="s">
        <v>78</v>
      </c>
      <c r="W102" s="33">
        <v>0</v>
      </c>
      <c r="X102" s="43">
        <f>W68</f>
        <v>0.51009257491299975</v>
      </c>
      <c r="Y102" s="43">
        <v>0</v>
      </c>
      <c r="Z102" s="42">
        <f>V40</f>
        <v>-3.6571989928186542E-4</v>
      </c>
      <c r="AF102" s="33" t="s">
        <v>78</v>
      </c>
      <c r="AG102" s="33">
        <v>0</v>
      </c>
      <c r="AH102" s="43">
        <f>AG68</f>
        <v>0.19900490016451997</v>
      </c>
      <c r="AI102" s="43">
        <v>0</v>
      </c>
      <c r="AJ102" s="42">
        <f>AF40</f>
        <v>-3.5556866825839687E-4</v>
      </c>
      <c r="AP102" s="33" t="s">
        <v>78</v>
      </c>
      <c r="AQ102" s="33">
        <v>0</v>
      </c>
      <c r="AR102" s="43">
        <f>AQ68</f>
        <v>-0.30818701624039269</v>
      </c>
      <c r="AS102" s="43">
        <v>0</v>
      </c>
      <c r="AT102" s="42">
        <f>AP40</f>
        <v>-3.4709849149455247E-4</v>
      </c>
    </row>
    <row r="103" spans="2:46" x14ac:dyDescent="0.15">
      <c r="B103" s="26" t="s">
        <v>83</v>
      </c>
      <c r="C103" s="26">
        <v>0.25</v>
      </c>
      <c r="D103" s="41">
        <f>C96</f>
        <v>-0.34583196406536343</v>
      </c>
      <c r="E103" s="41">
        <f>C99</f>
        <v>3.4086356425738406E-3</v>
      </c>
      <c r="F103" s="40">
        <f>B40</f>
        <v>-3.8885329903811197E-4</v>
      </c>
      <c r="L103" s="26" t="s">
        <v>83</v>
      </c>
      <c r="M103" s="26">
        <v>0.25</v>
      </c>
      <c r="N103" s="41">
        <f>M96</f>
        <v>-0.19767216615019317</v>
      </c>
      <c r="O103" s="41">
        <f>M99</f>
        <v>3.0651533242509947E-3</v>
      </c>
      <c r="P103" s="40">
        <f>L40</f>
        <v>-3.7701252645482264E-4</v>
      </c>
      <c r="V103" s="26" t="s">
        <v>83</v>
      </c>
      <c r="W103" s="26">
        <v>0.25</v>
      </c>
      <c r="X103" s="41">
        <f>W96</f>
        <v>0.69701713226100914</v>
      </c>
      <c r="Y103" s="41">
        <f>W99</f>
        <v>3.255479465041742E-3</v>
      </c>
      <c r="Z103" s="40">
        <f>V40</f>
        <v>-3.6571989928186542E-4</v>
      </c>
      <c r="AF103" s="26" t="s">
        <v>83</v>
      </c>
      <c r="AG103" s="26">
        <v>0.25</v>
      </c>
      <c r="AH103" s="41">
        <f>AG96</f>
        <v>0.26900437542768385</v>
      </c>
      <c r="AI103" s="41">
        <f>AG99</f>
        <v>3.6328043796421557E-3</v>
      </c>
      <c r="AJ103" s="40">
        <f>AF40</f>
        <v>-3.5556866825839687E-4</v>
      </c>
      <c r="AP103" s="26" t="s">
        <v>83</v>
      </c>
      <c r="AQ103" s="26">
        <v>0.25</v>
      </c>
      <c r="AR103" s="41">
        <f>AQ96</f>
        <v>-0.52089543645758751</v>
      </c>
      <c r="AS103" s="41">
        <f>AQ99</f>
        <v>3.4192451115330233E-3</v>
      </c>
      <c r="AT103" s="40">
        <f>AP40</f>
        <v>-3.4709849149455247E-4</v>
      </c>
    </row>
    <row r="104" spans="2:46" x14ac:dyDescent="0.15">
      <c r="B104" s="26" t="s">
        <v>81</v>
      </c>
      <c r="C104" s="26">
        <v>0.5</v>
      </c>
      <c r="D104" s="41">
        <f>E68</f>
        <v>-0.1620156133522766</v>
      </c>
      <c r="E104" s="41">
        <v>0</v>
      </c>
      <c r="F104" s="40">
        <f>B40</f>
        <v>-3.8885329903811197E-4</v>
      </c>
      <c r="L104" s="26" t="s">
        <v>81</v>
      </c>
      <c r="M104" s="26">
        <v>0.5</v>
      </c>
      <c r="N104" s="41">
        <f>O68</f>
        <v>-9.703782598480265E-2</v>
      </c>
      <c r="O104" s="41">
        <v>0</v>
      </c>
      <c r="P104" s="40">
        <f>L40</f>
        <v>-3.7701252645482264E-4</v>
      </c>
      <c r="V104" s="26" t="s">
        <v>81</v>
      </c>
      <c r="W104" s="26">
        <v>0.5</v>
      </c>
      <c r="X104" s="41">
        <f>Y68</f>
        <v>0.50956210314146644</v>
      </c>
      <c r="Y104" s="41">
        <v>0</v>
      </c>
      <c r="Z104" s="40">
        <f>V40</f>
        <v>-3.6571989928186542E-4</v>
      </c>
      <c r="AF104" s="26" t="s">
        <v>81</v>
      </c>
      <c r="AG104" s="26">
        <v>0.5</v>
      </c>
      <c r="AH104" s="41">
        <f>AI68</f>
        <v>0.19894723979630646</v>
      </c>
      <c r="AI104" s="41">
        <v>0</v>
      </c>
      <c r="AJ104" s="40">
        <f>AF40</f>
        <v>-3.5556866825839687E-4</v>
      </c>
      <c r="AP104" s="26" t="s">
        <v>81</v>
      </c>
      <c r="AQ104" s="26">
        <v>0.5</v>
      </c>
      <c r="AR104" s="41">
        <f>AS68</f>
        <v>-0.30676276961522164</v>
      </c>
      <c r="AS104" s="41">
        <v>0</v>
      </c>
      <c r="AT104" s="40">
        <f>AP40</f>
        <v>-3.4709849149455247E-4</v>
      </c>
    </row>
    <row r="105" spans="2:46" x14ac:dyDescent="0.15">
      <c r="B105" s="23" t="s">
        <v>95</v>
      </c>
      <c r="C105" s="23">
        <v>0.75</v>
      </c>
      <c r="D105" s="39">
        <f>C96</f>
        <v>-0.34583196406536343</v>
      </c>
      <c r="E105" s="39">
        <f>-C99</f>
        <v>-3.4086356425738406E-3</v>
      </c>
      <c r="F105" s="38">
        <f>B40</f>
        <v>-3.8885329903811197E-4</v>
      </c>
      <c r="L105" s="23" t="s">
        <v>95</v>
      </c>
      <c r="M105" s="23">
        <v>0.75</v>
      </c>
      <c r="N105" s="39">
        <f>M96</f>
        <v>-0.19767216615019317</v>
      </c>
      <c r="O105" s="39">
        <f>-M99</f>
        <v>-3.0651533242509947E-3</v>
      </c>
      <c r="P105" s="38">
        <f>L40</f>
        <v>-3.7701252645482264E-4</v>
      </c>
      <c r="V105" s="23" t="s">
        <v>95</v>
      </c>
      <c r="W105" s="23">
        <v>0.75</v>
      </c>
      <c r="X105" s="39">
        <f>W96</f>
        <v>0.69701713226100914</v>
      </c>
      <c r="Y105" s="39">
        <f>-W99</f>
        <v>-3.255479465041742E-3</v>
      </c>
      <c r="Z105" s="38">
        <f>V40</f>
        <v>-3.6571989928186542E-4</v>
      </c>
      <c r="AF105" s="23" t="s">
        <v>95</v>
      </c>
      <c r="AG105" s="23">
        <v>0.75</v>
      </c>
      <c r="AH105" s="39">
        <f>AG96</f>
        <v>0.26900437542768385</v>
      </c>
      <c r="AI105" s="39">
        <f>-AG99</f>
        <v>-3.6328043796421557E-3</v>
      </c>
      <c r="AJ105" s="38">
        <f>AF40</f>
        <v>-3.5556866825839687E-4</v>
      </c>
      <c r="AP105" s="23" t="s">
        <v>95</v>
      </c>
      <c r="AQ105" s="23">
        <v>0.75</v>
      </c>
      <c r="AR105" s="39">
        <f>AQ96</f>
        <v>-0.52089543645758751</v>
      </c>
      <c r="AS105" s="39">
        <f>-AQ99</f>
        <v>-3.4192451115330233E-3</v>
      </c>
      <c r="AT105" s="38">
        <f>AP40</f>
        <v>-3.4709849149455247E-4</v>
      </c>
    </row>
    <row r="107" spans="2:46" ht="15" x14ac:dyDescent="0.2">
      <c r="B107" s="37" t="s">
        <v>102</v>
      </c>
      <c r="C107" s="36"/>
      <c r="L107" s="37" t="s">
        <v>102</v>
      </c>
      <c r="M107" s="36"/>
      <c r="V107" s="37" t="s">
        <v>102</v>
      </c>
      <c r="W107" s="36"/>
      <c r="AF107" s="37" t="s">
        <v>102</v>
      </c>
      <c r="AG107" s="36"/>
      <c r="AP107" s="37" t="s">
        <v>102</v>
      </c>
      <c r="AQ107" s="36"/>
    </row>
    <row r="108" spans="2:46" ht="15" x14ac:dyDescent="0.2">
      <c r="B108" s="35" t="s">
        <v>101</v>
      </c>
      <c r="C108" s="34">
        <f>C17+VLOOKUP(B12,B102:D105,3,FALSE)+VLOOKUP(B12,B102:E105,4,FALSE)+VLOOKUP(B12,B102:F105,5,FALSE)</f>
        <v>2460438.6410164083</v>
      </c>
      <c r="L108" s="35" t="s">
        <v>101</v>
      </c>
      <c r="M108" s="34">
        <f>M17+VLOOKUP(L12,L102:N105,3,FALSE)+VLOOKUP(L12,L102:O105,4,FALSE)+VLOOKUP(L12,L102:P105,5,FALSE)</f>
        <v>2460445.9925658708</v>
      </c>
      <c r="V108" s="35" t="s">
        <v>101</v>
      </c>
      <c r="W108" s="34">
        <f>W17+VLOOKUP(V12,V102:X105,3,FALSE)+VLOOKUP(V12,V102:Y105,4,FALSE)+VLOOKUP(V12,V102:Z105,5,FALSE)</f>
        <v>2460454.0793935047</v>
      </c>
      <c r="AF108" s="35" t="s">
        <v>101</v>
      </c>
      <c r="AG108" s="34">
        <f>AG17+VLOOKUP(AF12,AF102:AH105,3,FALSE)+VLOOKUP(AF12,AF102:AI105,4,FALSE)+VLOOKUP(AF12,AF102:AJ105,5,FALSE)</f>
        <v>2460461.2178603499</v>
      </c>
      <c r="AP108" s="35" t="s">
        <v>101</v>
      </c>
      <c r="AQ108" s="34">
        <f>AQ17+VLOOKUP(AP12,AP102:AR105,3,FALSE)+VLOOKUP(AP12,AP102:AS105,4,FALSE)+VLOOKUP(AP12,AP102:AT105,5,FALSE)</f>
        <v>2460468.0269574602</v>
      </c>
    </row>
    <row r="118" spans="2:6" ht="16" x14ac:dyDescent="0.2">
      <c r="B118" s="105" t="s">
        <v>9</v>
      </c>
      <c r="C118" s="106">
        <f>360*(ABS('Moon Phases'!AD11-'Moon Phases'!AA19))/29.5</f>
        <v>20.025962949177977</v>
      </c>
      <c r="D118" s="107"/>
      <c r="E118" s="108"/>
      <c r="F118" s="109"/>
    </row>
    <row r="119" spans="2:6" ht="15" x14ac:dyDescent="0.2">
      <c r="B119" s="110" t="s">
        <v>31</v>
      </c>
      <c r="C119" s="107">
        <v>200</v>
      </c>
      <c r="D119" s="107"/>
      <c r="E119" s="107" t="s">
        <v>32</v>
      </c>
      <c r="F119" s="111">
        <f>MOD(360-Calculations!C118+180,360)</f>
        <v>159.97403705082206</v>
      </c>
    </row>
    <row r="120" spans="2:6" ht="15" x14ac:dyDescent="0.2">
      <c r="B120" s="112" t="s">
        <v>33</v>
      </c>
      <c r="C120" s="113">
        <f>2/C119</f>
        <v>0.01</v>
      </c>
      <c r="D120" s="113"/>
      <c r="E120" s="113" t="s">
        <v>34</v>
      </c>
      <c r="F120" s="114">
        <f>COS(RADIANS(F119))</f>
        <v>-0.9395375416678754</v>
      </c>
    </row>
    <row r="121" spans="2:6" ht="15" x14ac:dyDescent="0.2">
      <c r="B121" s="115"/>
      <c r="C121" s="116"/>
      <c r="D121" s="116"/>
      <c r="E121" s="116" t="s">
        <v>35</v>
      </c>
      <c r="F121" s="117">
        <f>ABS(F120)</f>
        <v>0.9395375416678754</v>
      </c>
    </row>
    <row r="122" spans="2:6" ht="15" x14ac:dyDescent="0.2">
      <c r="B122" s="112"/>
      <c r="C122" s="113"/>
      <c r="D122" s="113"/>
      <c r="E122" s="113" t="s">
        <v>36</v>
      </c>
      <c r="F122" s="118">
        <v>1</v>
      </c>
    </row>
    <row r="123" spans="2:6" ht="15" x14ac:dyDescent="0.2">
      <c r="B123" s="115"/>
      <c r="C123" s="116"/>
      <c r="D123" s="116"/>
      <c r="E123" s="116"/>
      <c r="F123" s="117"/>
    </row>
    <row r="124" spans="2:6" ht="15" x14ac:dyDescent="0.2">
      <c r="B124" s="119" t="s">
        <v>3</v>
      </c>
      <c r="C124" s="120" t="s">
        <v>37</v>
      </c>
      <c r="D124" s="120" t="s">
        <v>38</v>
      </c>
      <c r="E124" s="120" t="s">
        <v>39</v>
      </c>
      <c r="F124" s="121" t="s">
        <v>40</v>
      </c>
    </row>
    <row r="125" spans="2:6" ht="15" x14ac:dyDescent="0.2">
      <c r="B125" s="115">
        <v>-1</v>
      </c>
      <c r="C125" s="116">
        <f t="shared" ref="C125:C188" si="40">IFERROR(IF(SQRT(1-(B125*B125)/($F$121*$F$121))&lt;0.05,0,SQRT(1-(B125*B125)/($F$121*$F$121))),0)</f>
        <v>0</v>
      </c>
      <c r="D125" s="116">
        <f t="shared" ref="D125:D188" si="41">CHOOSE(MATCH($F$119,degrees),IF(B125&lt;0,IFERROR(1-C125,1),0),0,0,IF(B125&gt;0,IFERROR(1-C125,1),0))</f>
        <v>0</v>
      </c>
      <c r="E125" s="116">
        <f t="shared" ref="E125:E188" si="42">CHOOSE(MATCH($F$119,degrees),IF(B125&lt;0,2*C125,2),IF(B125&lt;0,0,1-C125),IF(B125&gt;0,0,1-C125),IF(B125&gt;0,2*C125,2))</f>
        <v>0</v>
      </c>
      <c r="F125" s="117">
        <f t="shared" ref="F125:F188" si="43">CHOOSE(MATCH($F$119,degrees),IF(B125&lt;0,C125+1,2),IF(B125&lt;0,2,2*C125),IF(B125&gt;0,2,2*C125),IF(B125&gt;0,C125+1,2))</f>
        <v>2</v>
      </c>
    </row>
    <row r="126" spans="2:6" ht="15" x14ac:dyDescent="0.2">
      <c r="B126" s="115">
        <f t="shared" ref="B126:B157" si="44">B125+$C$120</f>
        <v>-0.99</v>
      </c>
      <c r="C126" s="116">
        <f t="shared" si="40"/>
        <v>0</v>
      </c>
      <c r="D126" s="116">
        <f t="shared" si="41"/>
        <v>0</v>
      </c>
      <c r="E126" s="116">
        <f t="shared" si="42"/>
        <v>0</v>
      </c>
      <c r="F126" s="117">
        <f t="shared" si="43"/>
        <v>2</v>
      </c>
    </row>
    <row r="127" spans="2:6" ht="15" x14ac:dyDescent="0.2">
      <c r="B127" s="115">
        <f t="shared" si="44"/>
        <v>-0.98</v>
      </c>
      <c r="C127" s="116">
        <f t="shared" si="40"/>
        <v>0</v>
      </c>
      <c r="D127" s="116">
        <f t="shared" si="41"/>
        <v>0</v>
      </c>
      <c r="E127" s="116">
        <f t="shared" si="42"/>
        <v>0</v>
      </c>
      <c r="F127" s="117">
        <f t="shared" si="43"/>
        <v>2</v>
      </c>
    </row>
    <row r="128" spans="2:6" ht="15" x14ac:dyDescent="0.2">
      <c r="B128" s="115">
        <f t="shared" si="44"/>
        <v>-0.97</v>
      </c>
      <c r="C128" s="116">
        <f t="shared" si="40"/>
        <v>0</v>
      </c>
      <c r="D128" s="116">
        <f t="shared" si="41"/>
        <v>0</v>
      </c>
      <c r="E128" s="116">
        <f t="shared" si="42"/>
        <v>0</v>
      </c>
      <c r="F128" s="117">
        <f t="shared" si="43"/>
        <v>2</v>
      </c>
    </row>
    <row r="129" spans="2:6" ht="15" x14ac:dyDescent="0.2">
      <c r="B129" s="115">
        <f t="shared" si="44"/>
        <v>-0.96</v>
      </c>
      <c r="C129" s="116">
        <f t="shared" si="40"/>
        <v>0</v>
      </c>
      <c r="D129" s="116">
        <f t="shared" si="41"/>
        <v>0</v>
      </c>
      <c r="E129" s="116">
        <f t="shared" si="42"/>
        <v>0</v>
      </c>
      <c r="F129" s="117">
        <f t="shared" si="43"/>
        <v>2</v>
      </c>
    </row>
    <row r="130" spans="2:6" ht="15" x14ac:dyDescent="0.2">
      <c r="B130" s="115">
        <f t="shared" si="44"/>
        <v>-0.95</v>
      </c>
      <c r="C130" s="116">
        <f t="shared" si="40"/>
        <v>0</v>
      </c>
      <c r="D130" s="116">
        <f t="shared" si="41"/>
        <v>0</v>
      </c>
      <c r="E130" s="116">
        <f t="shared" si="42"/>
        <v>0</v>
      </c>
      <c r="F130" s="117">
        <f t="shared" si="43"/>
        <v>2</v>
      </c>
    </row>
    <row r="131" spans="2:6" ht="15" x14ac:dyDescent="0.2">
      <c r="B131" s="115">
        <f t="shared" si="44"/>
        <v>-0.94</v>
      </c>
      <c r="C131" s="116">
        <f t="shared" si="40"/>
        <v>0</v>
      </c>
      <c r="D131" s="116">
        <f t="shared" si="41"/>
        <v>0</v>
      </c>
      <c r="E131" s="116">
        <f t="shared" si="42"/>
        <v>0</v>
      </c>
      <c r="F131" s="117">
        <f t="shared" si="43"/>
        <v>2</v>
      </c>
    </row>
    <row r="132" spans="2:6" ht="15" x14ac:dyDescent="0.2">
      <c r="B132" s="115">
        <f t="shared" si="44"/>
        <v>-0.92999999999999994</v>
      </c>
      <c r="C132" s="116">
        <f t="shared" si="40"/>
        <v>0.14212523025010823</v>
      </c>
      <c r="D132" s="116">
        <f t="shared" si="41"/>
        <v>0</v>
      </c>
      <c r="E132" s="116">
        <f t="shared" si="42"/>
        <v>0</v>
      </c>
      <c r="F132" s="117">
        <f t="shared" si="43"/>
        <v>2</v>
      </c>
    </row>
    <row r="133" spans="2:6" ht="15" x14ac:dyDescent="0.2">
      <c r="B133" s="115">
        <f t="shared" si="44"/>
        <v>-0.91999999999999993</v>
      </c>
      <c r="C133" s="116">
        <f t="shared" si="40"/>
        <v>0.20287255359833237</v>
      </c>
      <c r="D133" s="116">
        <f t="shared" si="41"/>
        <v>0</v>
      </c>
      <c r="E133" s="116">
        <f t="shared" si="42"/>
        <v>0</v>
      </c>
      <c r="F133" s="117">
        <f t="shared" si="43"/>
        <v>2</v>
      </c>
    </row>
    <row r="134" spans="2:6" ht="15" x14ac:dyDescent="0.2">
      <c r="B134" s="115">
        <f t="shared" si="44"/>
        <v>-0.90999999999999992</v>
      </c>
      <c r="C134" s="116">
        <f t="shared" si="40"/>
        <v>0.2487737833673096</v>
      </c>
      <c r="D134" s="116">
        <f t="shared" si="41"/>
        <v>0</v>
      </c>
      <c r="E134" s="116">
        <f t="shared" si="42"/>
        <v>0</v>
      </c>
      <c r="F134" s="117">
        <f t="shared" si="43"/>
        <v>2</v>
      </c>
    </row>
    <row r="135" spans="2:6" ht="15" x14ac:dyDescent="0.2">
      <c r="B135" s="115">
        <f t="shared" si="44"/>
        <v>-0.89999999999999991</v>
      </c>
      <c r="C135" s="116">
        <f t="shared" si="40"/>
        <v>0.28704171811041163</v>
      </c>
      <c r="D135" s="116">
        <f t="shared" si="41"/>
        <v>0</v>
      </c>
      <c r="E135" s="116">
        <f t="shared" si="42"/>
        <v>0</v>
      </c>
      <c r="F135" s="117">
        <f t="shared" si="43"/>
        <v>2</v>
      </c>
    </row>
    <row r="136" spans="2:6" ht="15" x14ac:dyDescent="0.2">
      <c r="B136" s="115">
        <f t="shared" si="44"/>
        <v>-0.8899999999999999</v>
      </c>
      <c r="C136" s="116">
        <f t="shared" si="40"/>
        <v>0.32042304994832055</v>
      </c>
      <c r="D136" s="116">
        <f t="shared" si="41"/>
        <v>0</v>
      </c>
      <c r="E136" s="116">
        <f t="shared" si="42"/>
        <v>0</v>
      </c>
      <c r="F136" s="117">
        <f t="shared" si="43"/>
        <v>2</v>
      </c>
    </row>
    <row r="137" spans="2:6" ht="15" x14ac:dyDescent="0.2">
      <c r="B137" s="115">
        <f t="shared" si="44"/>
        <v>-0.87999999999999989</v>
      </c>
      <c r="C137" s="116">
        <f t="shared" si="40"/>
        <v>0.35031749071107743</v>
      </c>
      <c r="D137" s="116">
        <f t="shared" si="41"/>
        <v>0</v>
      </c>
      <c r="E137" s="116">
        <f t="shared" si="42"/>
        <v>0</v>
      </c>
      <c r="F137" s="117">
        <f t="shared" si="43"/>
        <v>2</v>
      </c>
    </row>
    <row r="138" spans="2:6" ht="15" x14ac:dyDescent="0.2">
      <c r="B138" s="115">
        <f t="shared" si="44"/>
        <v>-0.86999999999999988</v>
      </c>
      <c r="C138" s="116">
        <f t="shared" si="40"/>
        <v>0.3775542186435516</v>
      </c>
      <c r="D138" s="116">
        <f t="shared" si="41"/>
        <v>0</v>
      </c>
      <c r="E138" s="116">
        <f t="shared" si="42"/>
        <v>0</v>
      </c>
      <c r="F138" s="117">
        <f t="shared" si="43"/>
        <v>2</v>
      </c>
    </row>
    <row r="139" spans="2:6" ht="15" x14ac:dyDescent="0.2">
      <c r="B139" s="115">
        <f t="shared" si="44"/>
        <v>-0.85999999999999988</v>
      </c>
      <c r="C139" s="116">
        <f t="shared" si="40"/>
        <v>0.40267289713922233</v>
      </c>
      <c r="D139" s="116">
        <f t="shared" si="41"/>
        <v>0</v>
      </c>
      <c r="E139" s="116">
        <f t="shared" si="42"/>
        <v>0</v>
      </c>
      <c r="F139" s="117">
        <f t="shared" si="43"/>
        <v>2</v>
      </c>
    </row>
    <row r="140" spans="2:6" ht="15" x14ac:dyDescent="0.2">
      <c r="B140" s="115">
        <f t="shared" si="44"/>
        <v>-0.84999999999999987</v>
      </c>
      <c r="C140" s="116">
        <f t="shared" si="40"/>
        <v>0.42604831477540395</v>
      </c>
      <c r="D140" s="116">
        <f t="shared" si="41"/>
        <v>0</v>
      </c>
      <c r="E140" s="116">
        <f t="shared" si="42"/>
        <v>0</v>
      </c>
      <c r="F140" s="117">
        <f t="shared" si="43"/>
        <v>2</v>
      </c>
    </row>
    <row r="141" spans="2:6" ht="15" x14ac:dyDescent="0.2">
      <c r="B141" s="115">
        <f t="shared" si="44"/>
        <v>-0.83999999999999986</v>
      </c>
      <c r="C141" s="116">
        <f t="shared" si="40"/>
        <v>0.4479534588692709</v>
      </c>
      <c r="D141" s="116">
        <f t="shared" si="41"/>
        <v>0</v>
      </c>
      <c r="E141" s="116">
        <f t="shared" si="42"/>
        <v>0</v>
      </c>
      <c r="F141" s="117">
        <f t="shared" si="43"/>
        <v>2</v>
      </c>
    </row>
    <row r="142" spans="2:6" ht="15" x14ac:dyDescent="0.2">
      <c r="B142" s="115">
        <f t="shared" si="44"/>
        <v>-0.82999999999999985</v>
      </c>
      <c r="C142" s="116">
        <f t="shared" si="40"/>
        <v>0.4685945651204681</v>
      </c>
      <c r="D142" s="116">
        <f t="shared" si="41"/>
        <v>0</v>
      </c>
      <c r="E142" s="116">
        <f t="shared" si="42"/>
        <v>0</v>
      </c>
      <c r="F142" s="117">
        <f t="shared" si="43"/>
        <v>2</v>
      </c>
    </row>
    <row r="143" spans="2:6" ht="15" x14ac:dyDescent="0.2">
      <c r="B143" s="115">
        <f t="shared" si="44"/>
        <v>-0.81999999999999984</v>
      </c>
      <c r="C143" s="116">
        <f t="shared" si="40"/>
        <v>0.48813201284637386</v>
      </c>
      <c r="D143" s="116">
        <f t="shared" si="41"/>
        <v>0</v>
      </c>
      <c r="E143" s="116">
        <f t="shared" si="42"/>
        <v>0</v>
      </c>
      <c r="F143" s="117">
        <f t="shared" si="43"/>
        <v>2</v>
      </c>
    </row>
    <row r="144" spans="2:6" ht="15" x14ac:dyDescent="0.2">
      <c r="B144" s="115">
        <f t="shared" si="44"/>
        <v>-0.80999999999999983</v>
      </c>
      <c r="C144" s="116">
        <f t="shared" si="40"/>
        <v>0.50669348508539125</v>
      </c>
      <c r="D144" s="116">
        <f t="shared" si="41"/>
        <v>0</v>
      </c>
      <c r="E144" s="116">
        <f t="shared" si="42"/>
        <v>0</v>
      </c>
      <c r="F144" s="117">
        <f t="shared" si="43"/>
        <v>2</v>
      </c>
    </row>
    <row r="145" spans="2:6" ht="15" x14ac:dyDescent="0.2">
      <c r="B145" s="115">
        <f t="shared" si="44"/>
        <v>-0.79999999999999982</v>
      </c>
      <c r="C145" s="116">
        <f t="shared" si="40"/>
        <v>0.52438263133710061</v>
      </c>
      <c r="D145" s="116">
        <f t="shared" si="41"/>
        <v>0</v>
      </c>
      <c r="E145" s="116">
        <f t="shared" si="42"/>
        <v>0</v>
      </c>
      <c r="F145" s="117">
        <f t="shared" si="43"/>
        <v>2</v>
      </c>
    </row>
    <row r="146" spans="2:6" ht="15" x14ac:dyDescent="0.2">
      <c r="B146" s="115">
        <f t="shared" si="44"/>
        <v>-0.78999999999999981</v>
      </c>
      <c r="C146" s="116">
        <f t="shared" si="40"/>
        <v>0.54128498097174149</v>
      </c>
      <c r="D146" s="116">
        <f t="shared" si="41"/>
        <v>0</v>
      </c>
      <c r="E146" s="116">
        <f t="shared" si="42"/>
        <v>0</v>
      </c>
      <c r="F146" s="117">
        <f t="shared" si="43"/>
        <v>2</v>
      </c>
    </row>
    <row r="147" spans="2:6" ht="15" x14ac:dyDescent="0.2">
      <c r="B147" s="115">
        <f t="shared" si="44"/>
        <v>-0.7799999999999998</v>
      </c>
      <c r="C147" s="116">
        <f t="shared" si="40"/>
        <v>0.5574721047376725</v>
      </c>
      <c r="D147" s="116">
        <f t="shared" si="41"/>
        <v>0</v>
      </c>
      <c r="E147" s="116">
        <f t="shared" si="42"/>
        <v>0</v>
      </c>
      <c r="F147" s="117">
        <f t="shared" si="43"/>
        <v>2</v>
      </c>
    </row>
    <row r="148" spans="2:6" ht="15" x14ac:dyDescent="0.2">
      <c r="B148" s="115">
        <f t="shared" si="44"/>
        <v>-0.7699999999999998</v>
      </c>
      <c r="C148" s="116">
        <f t="shared" si="40"/>
        <v>0.57300462027215582</v>
      </c>
      <c r="D148" s="116">
        <f t="shared" si="41"/>
        <v>0</v>
      </c>
      <c r="E148" s="116">
        <f t="shared" si="42"/>
        <v>0</v>
      </c>
      <c r="F148" s="117">
        <f t="shared" si="43"/>
        <v>2</v>
      </c>
    </row>
    <row r="149" spans="2:6" ht="15" x14ac:dyDescent="0.2">
      <c r="B149" s="115">
        <f t="shared" si="44"/>
        <v>-0.75999999999999979</v>
      </c>
      <c r="C149" s="116">
        <f t="shared" si="40"/>
        <v>0.5879344117359856</v>
      </c>
      <c r="D149" s="116">
        <f t="shared" si="41"/>
        <v>0</v>
      </c>
      <c r="E149" s="116">
        <f t="shared" si="42"/>
        <v>0</v>
      </c>
      <c r="F149" s="117">
        <f t="shared" si="43"/>
        <v>2</v>
      </c>
    </row>
    <row r="150" spans="2:6" ht="15" x14ac:dyDescent="0.2">
      <c r="B150" s="115">
        <f t="shared" si="44"/>
        <v>-0.74999999999999978</v>
      </c>
      <c r="C150" s="116">
        <f t="shared" si="40"/>
        <v>0.60230630123796358</v>
      </c>
      <c r="D150" s="116">
        <f t="shared" si="41"/>
        <v>0</v>
      </c>
      <c r="E150" s="116">
        <f t="shared" si="42"/>
        <v>0</v>
      </c>
      <c r="F150" s="117">
        <f t="shared" si="43"/>
        <v>2</v>
      </c>
    </row>
    <row r="151" spans="2:6" ht="15" x14ac:dyDescent="0.2">
      <c r="B151" s="115">
        <f t="shared" si="44"/>
        <v>-0.73999999999999977</v>
      </c>
      <c r="C151" s="116">
        <f t="shared" si="40"/>
        <v>0.6161593291317502</v>
      </c>
      <c r="D151" s="116">
        <f t="shared" si="41"/>
        <v>0</v>
      </c>
      <c r="E151" s="116">
        <f t="shared" si="42"/>
        <v>0</v>
      </c>
      <c r="F151" s="117">
        <f t="shared" si="43"/>
        <v>2</v>
      </c>
    </row>
    <row r="152" spans="2:6" ht="15" x14ac:dyDescent="0.2">
      <c r="B152" s="115">
        <f t="shared" si="44"/>
        <v>-0.72999999999999976</v>
      </c>
      <c r="C152" s="116">
        <f t="shared" si="40"/>
        <v>0.62952774966536273</v>
      </c>
      <c r="D152" s="116">
        <f t="shared" si="41"/>
        <v>0</v>
      </c>
      <c r="E152" s="116">
        <f t="shared" si="42"/>
        <v>0</v>
      </c>
      <c r="F152" s="117">
        <f t="shared" si="43"/>
        <v>2</v>
      </c>
    </row>
    <row r="153" spans="2:6" ht="15" x14ac:dyDescent="0.2">
      <c r="B153" s="115">
        <f t="shared" si="44"/>
        <v>-0.71999999999999975</v>
      </c>
      <c r="C153" s="116">
        <f t="shared" si="40"/>
        <v>0.64244181579260362</v>
      </c>
      <c r="D153" s="116">
        <f t="shared" si="41"/>
        <v>0</v>
      </c>
      <c r="E153" s="116">
        <f t="shared" si="42"/>
        <v>0</v>
      </c>
      <c r="F153" s="117">
        <f t="shared" si="43"/>
        <v>2</v>
      </c>
    </row>
    <row r="154" spans="2:6" ht="15" x14ac:dyDescent="0.2">
      <c r="B154" s="115">
        <f t="shared" si="44"/>
        <v>-0.70999999999999974</v>
      </c>
      <c r="C154" s="116">
        <f t="shared" si="40"/>
        <v>0.65492840533647234</v>
      </c>
      <c r="D154" s="116">
        <f t="shared" si="41"/>
        <v>0</v>
      </c>
      <c r="E154" s="116">
        <f t="shared" si="42"/>
        <v>0</v>
      </c>
      <c r="F154" s="117">
        <f t="shared" si="43"/>
        <v>2</v>
      </c>
    </row>
    <row r="155" spans="2:6" ht="15" x14ac:dyDescent="0.2">
      <c r="B155" s="115">
        <f t="shared" si="44"/>
        <v>-0.69999999999999973</v>
      </c>
      <c r="C155" s="116">
        <f t="shared" si="40"/>
        <v>0.66701152607115166</v>
      </c>
      <c r="D155" s="116">
        <f t="shared" si="41"/>
        <v>0</v>
      </c>
      <c r="E155" s="116">
        <f t="shared" si="42"/>
        <v>0</v>
      </c>
      <c r="F155" s="117">
        <f t="shared" si="43"/>
        <v>2</v>
      </c>
    </row>
    <row r="156" spans="2:6" ht="15" x14ac:dyDescent="0.2">
      <c r="B156" s="115">
        <f t="shared" si="44"/>
        <v>-0.68999999999999972</v>
      </c>
      <c r="C156" s="116">
        <f t="shared" si="40"/>
        <v>0.67871272720089293</v>
      </c>
      <c r="D156" s="116">
        <f t="shared" si="41"/>
        <v>0</v>
      </c>
      <c r="E156" s="116">
        <f t="shared" si="42"/>
        <v>0</v>
      </c>
      <c r="F156" s="117">
        <f t="shared" si="43"/>
        <v>2</v>
      </c>
    </row>
    <row r="157" spans="2:6" ht="15" x14ac:dyDescent="0.2">
      <c r="B157" s="115">
        <f t="shared" si="44"/>
        <v>-0.67999999999999972</v>
      </c>
      <c r="C157" s="116">
        <f t="shared" si="40"/>
        <v>0.69005143762961307</v>
      </c>
      <c r="D157" s="116">
        <f t="shared" si="41"/>
        <v>0</v>
      </c>
      <c r="E157" s="116">
        <f t="shared" si="42"/>
        <v>0</v>
      </c>
      <c r="F157" s="117">
        <f t="shared" si="43"/>
        <v>2</v>
      </c>
    </row>
    <row r="158" spans="2:6" ht="15" x14ac:dyDescent="0.2">
      <c r="B158" s="115">
        <f t="shared" ref="B158:B189" si="45">B157+$C$120</f>
        <v>-0.66999999999999971</v>
      </c>
      <c r="C158" s="116">
        <f t="shared" si="40"/>
        <v>0.70104524635891563</v>
      </c>
      <c r="D158" s="116">
        <f t="shared" si="41"/>
        <v>0</v>
      </c>
      <c r="E158" s="116">
        <f t="shared" si="42"/>
        <v>0</v>
      </c>
      <c r="F158" s="117">
        <f t="shared" si="43"/>
        <v>2</v>
      </c>
    </row>
    <row r="159" spans="2:6" ht="15" x14ac:dyDescent="0.2">
      <c r="B159" s="115">
        <f t="shared" si="45"/>
        <v>-0.6599999999999997</v>
      </c>
      <c r="C159" s="116">
        <f t="shared" si="40"/>
        <v>0.71171013669027139</v>
      </c>
      <c r="D159" s="116">
        <f t="shared" si="41"/>
        <v>0</v>
      </c>
      <c r="E159" s="116">
        <f t="shared" si="42"/>
        <v>0</v>
      </c>
      <c r="F159" s="117">
        <f t="shared" si="43"/>
        <v>2</v>
      </c>
    </row>
    <row r="160" spans="2:6" ht="15" x14ac:dyDescent="0.2">
      <c r="B160" s="115">
        <f t="shared" si="45"/>
        <v>-0.64999999999999969</v>
      </c>
      <c r="C160" s="116">
        <f t="shared" si="40"/>
        <v>0.72206068321883576</v>
      </c>
      <c r="D160" s="116">
        <f t="shared" si="41"/>
        <v>0</v>
      </c>
      <c r="E160" s="116">
        <f t="shared" si="42"/>
        <v>0</v>
      </c>
      <c r="F160" s="117">
        <f t="shared" si="43"/>
        <v>2</v>
      </c>
    </row>
    <row r="161" spans="2:6" ht="15" x14ac:dyDescent="0.2">
      <c r="B161" s="115">
        <f t="shared" si="45"/>
        <v>-0.63999999999999968</v>
      </c>
      <c r="C161" s="116">
        <f t="shared" si="40"/>
        <v>0.73211021860832814</v>
      </c>
      <c r="D161" s="116">
        <f t="shared" si="41"/>
        <v>0</v>
      </c>
      <c r="E161" s="116">
        <f t="shared" si="42"/>
        <v>0</v>
      </c>
      <c r="F161" s="117">
        <f t="shared" si="43"/>
        <v>2</v>
      </c>
    </row>
    <row r="162" spans="2:6" ht="15" x14ac:dyDescent="0.2">
      <c r="B162" s="115">
        <f t="shared" si="45"/>
        <v>-0.62999999999999967</v>
      </c>
      <c r="C162" s="116">
        <f t="shared" si="40"/>
        <v>0.74187097563426152</v>
      </c>
      <c r="D162" s="116">
        <f t="shared" si="41"/>
        <v>0</v>
      </c>
      <c r="E162" s="116">
        <f t="shared" si="42"/>
        <v>0</v>
      </c>
      <c r="F162" s="117">
        <f t="shared" si="43"/>
        <v>2</v>
      </c>
    </row>
    <row r="163" spans="2:6" ht="15" x14ac:dyDescent="0.2">
      <c r="B163" s="115">
        <f t="shared" si="45"/>
        <v>-0.61999999999999966</v>
      </c>
      <c r="C163" s="116">
        <f t="shared" si="40"/>
        <v>0.75135420884150461</v>
      </c>
      <c r="D163" s="116">
        <f t="shared" si="41"/>
        <v>0</v>
      </c>
      <c r="E163" s="116">
        <f t="shared" si="42"/>
        <v>0</v>
      </c>
      <c r="F163" s="117">
        <f t="shared" si="43"/>
        <v>2</v>
      </c>
    </row>
    <row r="164" spans="2:6" ht="15" x14ac:dyDescent="0.2">
      <c r="B164" s="115">
        <f t="shared" si="45"/>
        <v>-0.60999999999999965</v>
      </c>
      <c r="C164" s="116">
        <f t="shared" si="40"/>
        <v>0.7605702992864436</v>
      </c>
      <c r="D164" s="116">
        <f t="shared" si="41"/>
        <v>0</v>
      </c>
      <c r="E164" s="116">
        <f t="shared" si="42"/>
        <v>0</v>
      </c>
      <c r="F164" s="117">
        <f t="shared" si="43"/>
        <v>2</v>
      </c>
    </row>
    <row r="165" spans="2:6" ht="15" x14ac:dyDescent="0.2">
      <c r="B165" s="115">
        <f t="shared" si="45"/>
        <v>-0.59999999999999964</v>
      </c>
      <c r="C165" s="116">
        <f t="shared" si="40"/>
        <v>0.76952884515592546</v>
      </c>
      <c r="D165" s="116">
        <f t="shared" si="41"/>
        <v>0</v>
      </c>
      <c r="E165" s="116">
        <f t="shared" si="42"/>
        <v>0</v>
      </c>
      <c r="F165" s="117">
        <f t="shared" si="43"/>
        <v>2</v>
      </c>
    </row>
    <row r="166" spans="2:6" ht="15" x14ac:dyDescent="0.2">
      <c r="B166" s="115">
        <f t="shared" si="45"/>
        <v>-0.58999999999999964</v>
      </c>
      <c r="C166" s="116">
        <f t="shared" si="40"/>
        <v>0.77823874052559827</v>
      </c>
      <c r="D166" s="116">
        <f t="shared" si="41"/>
        <v>0</v>
      </c>
      <c r="E166" s="116">
        <f t="shared" si="42"/>
        <v>0</v>
      </c>
      <c r="F166" s="117">
        <f t="shared" si="43"/>
        <v>2</v>
      </c>
    </row>
    <row r="167" spans="2:6" ht="15" x14ac:dyDescent="0.2">
      <c r="B167" s="115">
        <f t="shared" si="45"/>
        <v>-0.57999999999999963</v>
      </c>
      <c r="C167" s="116">
        <f t="shared" si="40"/>
        <v>0.78670824410339157</v>
      </c>
      <c r="D167" s="116">
        <f t="shared" si="41"/>
        <v>0</v>
      </c>
      <c r="E167" s="116">
        <f t="shared" si="42"/>
        <v>0</v>
      </c>
      <c r="F167" s="117">
        <f t="shared" si="43"/>
        <v>2</v>
      </c>
    </row>
    <row r="168" spans="2:6" ht="15" x14ac:dyDescent="0.2">
      <c r="B168" s="115">
        <f t="shared" si="45"/>
        <v>-0.56999999999999962</v>
      </c>
      <c r="C168" s="116">
        <f t="shared" si="40"/>
        <v>0.79494503947325101</v>
      </c>
      <c r="D168" s="116">
        <f t="shared" si="41"/>
        <v>0</v>
      </c>
      <c r="E168" s="116">
        <f t="shared" si="42"/>
        <v>0</v>
      </c>
      <c r="F168" s="117">
        <f t="shared" si="43"/>
        <v>2</v>
      </c>
    </row>
    <row r="169" spans="2:6" ht="15" x14ac:dyDescent="0.2">
      <c r="B169" s="115">
        <f t="shared" si="45"/>
        <v>-0.55999999999999961</v>
      </c>
      <c r="C169" s="116">
        <f t="shared" si="40"/>
        <v>0.80295628809016173</v>
      </c>
      <c r="D169" s="116">
        <f t="shared" si="41"/>
        <v>0</v>
      </c>
      <c r="E169" s="116">
        <f t="shared" si="42"/>
        <v>0</v>
      </c>
      <c r="F169" s="117">
        <f t="shared" si="43"/>
        <v>2</v>
      </c>
    </row>
    <row r="170" spans="2:6" ht="15" x14ac:dyDescent="0.2">
      <c r="B170" s="115">
        <f t="shared" si="45"/>
        <v>-0.5499999999999996</v>
      </c>
      <c r="C170" s="116">
        <f t="shared" si="40"/>
        <v>0.81074867606518353</v>
      </c>
      <c r="D170" s="116">
        <f t="shared" si="41"/>
        <v>0</v>
      </c>
      <c r="E170" s="116">
        <f t="shared" si="42"/>
        <v>0</v>
      </c>
      <c r="F170" s="117">
        <f t="shared" si="43"/>
        <v>2</v>
      </c>
    </row>
    <row r="171" spans="2:6" ht="15" x14ac:dyDescent="0.2">
      <c r="B171" s="115">
        <f t="shared" si="45"/>
        <v>-0.53999999999999959</v>
      </c>
      <c r="C171" s="116">
        <f t="shared" si="40"/>
        <v>0.8183284556074536</v>
      </c>
      <c r="D171" s="116">
        <f t="shared" si="41"/>
        <v>0</v>
      </c>
      <c r="E171" s="116">
        <f t="shared" si="42"/>
        <v>0</v>
      </c>
      <c r="F171" s="117">
        <f t="shared" si="43"/>
        <v>2</v>
      </c>
    </row>
    <row r="172" spans="2:6" ht="15" x14ac:dyDescent="0.2">
      <c r="B172" s="115">
        <f t="shared" si="45"/>
        <v>-0.52999999999999958</v>
      </c>
      <c r="C172" s="116">
        <f t="shared" si="40"/>
        <v>0.82570148185032788</v>
      </c>
      <c r="D172" s="116">
        <f t="shared" si="41"/>
        <v>0</v>
      </c>
      <c r="E172" s="116">
        <f t="shared" si="42"/>
        <v>0</v>
      </c>
      <c r="F172" s="117">
        <f t="shared" si="43"/>
        <v>2</v>
      </c>
    </row>
    <row r="173" spans="2:6" ht="15" x14ac:dyDescent="0.2">
      <c r="B173" s="115">
        <f t="shared" si="45"/>
        <v>-0.51999999999999957</v>
      </c>
      <c r="C173" s="116">
        <f t="shared" si="40"/>
        <v>0.83287324567444809</v>
      </c>
      <c r="D173" s="116">
        <f t="shared" si="41"/>
        <v>0</v>
      </c>
      <c r="E173" s="116">
        <f t="shared" si="42"/>
        <v>0</v>
      </c>
      <c r="F173" s="117">
        <f t="shared" si="43"/>
        <v>2</v>
      </c>
    </row>
    <row r="174" spans="2:6" ht="15" x14ac:dyDescent="0.2">
      <c r="B174" s="115">
        <f t="shared" si="45"/>
        <v>-0.50999999999999956</v>
      </c>
      <c r="C174" s="116">
        <f t="shared" si="40"/>
        <v>0.83984890304641502</v>
      </c>
      <c r="D174" s="116">
        <f t="shared" si="41"/>
        <v>0</v>
      </c>
      <c r="E174" s="116">
        <f t="shared" si="42"/>
        <v>0</v>
      </c>
      <c r="F174" s="117">
        <f t="shared" si="43"/>
        <v>2</v>
      </c>
    </row>
    <row r="175" spans="2:6" ht="15" x14ac:dyDescent="0.2">
      <c r="B175" s="115">
        <f t="shared" si="45"/>
        <v>-0.49999999999999956</v>
      </c>
      <c r="C175" s="116">
        <f t="shared" si="40"/>
        <v>0.84663330131395065</v>
      </c>
      <c r="D175" s="116">
        <f t="shared" si="41"/>
        <v>0</v>
      </c>
      <c r="E175" s="116">
        <f t="shared" si="42"/>
        <v>0</v>
      </c>
      <c r="F175" s="117">
        <f t="shared" si="43"/>
        <v>2</v>
      </c>
    </row>
    <row r="176" spans="2:6" ht="15" x14ac:dyDescent="0.2">
      <c r="B176" s="115">
        <f t="shared" si="45"/>
        <v>-0.48999999999999955</v>
      </c>
      <c r="C176" s="116">
        <f t="shared" si="40"/>
        <v>0.85323100283379638</v>
      </c>
      <c r="D176" s="116">
        <f t="shared" si="41"/>
        <v>0</v>
      </c>
      <c r="E176" s="116">
        <f t="shared" si="42"/>
        <v>0</v>
      </c>
      <c r="F176" s="117">
        <f t="shared" si="43"/>
        <v>2</v>
      </c>
    </row>
    <row r="177" spans="2:6" ht="15" x14ac:dyDescent="0.2">
      <c r="B177" s="115">
        <f t="shared" si="45"/>
        <v>-0.47999999999999954</v>
      </c>
      <c r="C177" s="116">
        <f t="shared" si="40"/>
        <v>0.85964630625466432</v>
      </c>
      <c r="D177" s="116">
        <f t="shared" si="41"/>
        <v>0</v>
      </c>
      <c r="E177" s="116">
        <f t="shared" si="42"/>
        <v>0</v>
      </c>
      <c r="F177" s="117">
        <f t="shared" si="43"/>
        <v>2</v>
      </c>
    </row>
    <row r="178" spans="2:6" ht="15" x14ac:dyDescent="0.2">
      <c r="B178" s="115">
        <f t="shared" si="45"/>
        <v>-0.46999999999999953</v>
      </c>
      <c r="C178" s="116">
        <f t="shared" si="40"/>
        <v>0.8658832657323533</v>
      </c>
      <c r="D178" s="116">
        <f t="shared" si="41"/>
        <v>0</v>
      </c>
      <c r="E178" s="116">
        <f t="shared" si="42"/>
        <v>0</v>
      </c>
      <c r="F178" s="117">
        <f t="shared" si="43"/>
        <v>2</v>
      </c>
    </row>
    <row r="179" spans="2:6" ht="15" x14ac:dyDescent="0.2">
      <c r="B179" s="115">
        <f t="shared" si="45"/>
        <v>-0.45999999999999952</v>
      </c>
      <c r="C179" s="116">
        <f t="shared" si="40"/>
        <v>0.87194570831610696</v>
      </c>
      <c r="D179" s="116">
        <f t="shared" si="41"/>
        <v>0</v>
      </c>
      <c r="E179" s="116">
        <f t="shared" si="42"/>
        <v>0</v>
      </c>
      <c r="F179" s="117">
        <f t="shared" si="43"/>
        <v>2</v>
      </c>
    </row>
    <row r="180" spans="2:6" ht="15" x14ac:dyDescent="0.2">
      <c r="B180" s="115">
        <f t="shared" si="45"/>
        <v>-0.44999999999999951</v>
      </c>
      <c r="C180" s="116">
        <f t="shared" si="40"/>
        <v>0.87783724971314858</v>
      </c>
      <c r="D180" s="116">
        <f t="shared" si="41"/>
        <v>0</v>
      </c>
      <c r="E180" s="116">
        <f t="shared" si="42"/>
        <v>0</v>
      </c>
      <c r="F180" s="117">
        <f t="shared" si="43"/>
        <v>2</v>
      </c>
    </row>
    <row r="181" spans="2:6" ht="15" x14ac:dyDescent="0.2">
      <c r="B181" s="115">
        <f t="shared" si="45"/>
        <v>-0.4399999999999995</v>
      </c>
      <c r="C181" s="116">
        <f t="shared" si="40"/>
        <v>0.88356130861108162</v>
      </c>
      <c r="D181" s="116">
        <f t="shared" si="41"/>
        <v>0</v>
      </c>
      <c r="E181" s="116">
        <f t="shared" si="42"/>
        <v>0</v>
      </c>
      <c r="F181" s="117">
        <f t="shared" si="43"/>
        <v>2</v>
      </c>
    </row>
    <row r="182" spans="2:6" ht="15" x14ac:dyDescent="0.2">
      <c r="B182" s="115">
        <f t="shared" si="45"/>
        <v>-0.42999999999999949</v>
      </c>
      <c r="C182" s="116">
        <f t="shared" si="40"/>
        <v>0.88912111971464503</v>
      </c>
      <c r="D182" s="116">
        <f t="shared" si="41"/>
        <v>0</v>
      </c>
      <c r="E182" s="116">
        <f t="shared" si="42"/>
        <v>0</v>
      </c>
      <c r="F182" s="117">
        <f t="shared" si="43"/>
        <v>2</v>
      </c>
    </row>
    <row r="183" spans="2:6" ht="15" x14ac:dyDescent="0.2">
      <c r="B183" s="115">
        <f t="shared" si="45"/>
        <v>-0.41999999999999948</v>
      </c>
      <c r="C183" s="116">
        <f t="shared" si="40"/>
        <v>0.89451974563350833</v>
      </c>
      <c r="D183" s="116">
        <f t="shared" si="41"/>
        <v>0</v>
      </c>
      <c r="E183" s="116">
        <f t="shared" si="42"/>
        <v>0</v>
      </c>
      <c r="F183" s="117">
        <f t="shared" si="43"/>
        <v>2</v>
      </c>
    </row>
    <row r="184" spans="2:6" ht="15" x14ac:dyDescent="0.2">
      <c r="B184" s="115">
        <f t="shared" si="45"/>
        <v>-0.40999999999999948</v>
      </c>
      <c r="C184" s="116">
        <f t="shared" si="40"/>
        <v>0.89976008774081739</v>
      </c>
      <c r="D184" s="116">
        <f t="shared" si="41"/>
        <v>0</v>
      </c>
      <c r="E184" s="116">
        <f t="shared" si="42"/>
        <v>0</v>
      </c>
      <c r="F184" s="117">
        <f t="shared" si="43"/>
        <v>2</v>
      </c>
    </row>
    <row r="185" spans="2:6" ht="15" x14ac:dyDescent="0.2">
      <c r="B185" s="115">
        <f t="shared" si="45"/>
        <v>-0.39999999999999947</v>
      </c>
      <c r="C185" s="116">
        <f t="shared" si="40"/>
        <v>0.90484489610761787</v>
      </c>
      <c r="D185" s="116">
        <f t="shared" si="41"/>
        <v>0</v>
      </c>
      <c r="E185" s="116">
        <f t="shared" si="42"/>
        <v>0</v>
      </c>
      <c r="F185" s="117">
        <f t="shared" si="43"/>
        <v>2</v>
      </c>
    </row>
    <row r="186" spans="2:6" ht="15" x14ac:dyDescent="0.2">
      <c r="B186" s="115">
        <f t="shared" si="45"/>
        <v>-0.38999999999999946</v>
      </c>
      <c r="C186" s="116">
        <f t="shared" si="40"/>
        <v>0.90977677860569894</v>
      </c>
      <c r="D186" s="116">
        <f t="shared" si="41"/>
        <v>0</v>
      </c>
      <c r="E186" s="116">
        <f t="shared" si="42"/>
        <v>0</v>
      </c>
      <c r="F186" s="117">
        <f t="shared" si="43"/>
        <v>2</v>
      </c>
    </row>
    <row r="187" spans="2:6" ht="15" x14ac:dyDescent="0.2">
      <c r="B187" s="115">
        <f t="shared" si="45"/>
        <v>-0.37999999999999945</v>
      </c>
      <c r="C187" s="116">
        <f t="shared" si="40"/>
        <v>0.91455820926053433</v>
      </c>
      <c r="D187" s="116">
        <f t="shared" si="41"/>
        <v>0</v>
      </c>
      <c r="E187" s="116">
        <f t="shared" si="42"/>
        <v>0</v>
      </c>
      <c r="F187" s="117">
        <f t="shared" si="43"/>
        <v>2</v>
      </c>
    </row>
    <row r="188" spans="2:6" ht="15" x14ac:dyDescent="0.2">
      <c r="B188" s="115">
        <f t="shared" si="45"/>
        <v>-0.36999999999999944</v>
      </c>
      <c r="C188" s="116">
        <f t="shared" si="40"/>
        <v>0.91919153592655678</v>
      </c>
      <c r="D188" s="116">
        <f t="shared" si="41"/>
        <v>0</v>
      </c>
      <c r="E188" s="116">
        <f t="shared" si="42"/>
        <v>0</v>
      </c>
      <c r="F188" s="117">
        <f t="shared" si="43"/>
        <v>2</v>
      </c>
    </row>
    <row r="189" spans="2:6" ht="15" x14ac:dyDescent="0.2">
      <c r="B189" s="115">
        <f t="shared" si="45"/>
        <v>-0.35999999999999943</v>
      </c>
      <c r="C189" s="116">
        <f t="shared" ref="C189:C252" si="46">IFERROR(IF(SQRT(1-(B189*B189)/($F$121*$F$121))&lt;0.05,0,SQRT(1-(B189*B189)/($F$121*$F$121))),0)</f>
        <v>0.92367898734881093</v>
      </c>
      <c r="D189" s="116">
        <f t="shared" ref="D189:D252" si="47">CHOOSE(MATCH($F$119,degrees),IF(B189&lt;0,IFERROR(1-C189,1),0),0,0,IF(B189&gt;0,IFERROR(1-C189,1),0))</f>
        <v>0</v>
      </c>
      <c r="E189" s="116">
        <f t="shared" ref="E189:E252" si="48">CHOOSE(MATCH($F$119,degrees),IF(B189&lt;0,2*C189,2),IF(B189&lt;0,0,1-C189),IF(B189&gt;0,0,1-C189),IF(B189&gt;0,2*C189,2))</f>
        <v>0</v>
      </c>
      <c r="F189" s="117">
        <f t="shared" ref="F189:F252" si="49">CHOOSE(MATCH($F$119,degrees),IF(B189&lt;0,C189+1,2),IF(B189&lt;0,2,2*C189),IF(B189&gt;0,2,2*C189),IF(B189&gt;0,C189+1,2))</f>
        <v>2</v>
      </c>
    </row>
    <row r="190" spans="2:6" ht="15" x14ac:dyDescent="0.2">
      <c r="B190" s="115">
        <f t="shared" ref="B190:B221" si="50">B189+$C$120</f>
        <v>-0.34999999999999942</v>
      </c>
      <c r="C190" s="116">
        <f t="shared" si="46"/>
        <v>0.92802267966787433</v>
      </c>
      <c r="D190" s="116">
        <f t="shared" si="47"/>
        <v>0</v>
      </c>
      <c r="E190" s="116">
        <f t="shared" si="48"/>
        <v>0</v>
      </c>
      <c r="F190" s="117">
        <f t="shared" si="49"/>
        <v>2</v>
      </c>
    </row>
    <row r="191" spans="2:6" ht="15" x14ac:dyDescent="0.2">
      <c r="B191" s="115">
        <f t="shared" si="50"/>
        <v>-0.33999999999999941</v>
      </c>
      <c r="C191" s="116">
        <f t="shared" si="46"/>
        <v>0.93222462241869275</v>
      </c>
      <c r="D191" s="116">
        <f t="shared" si="47"/>
        <v>0</v>
      </c>
      <c r="E191" s="116">
        <f t="shared" si="48"/>
        <v>0</v>
      </c>
      <c r="F191" s="117">
        <f t="shared" si="49"/>
        <v>2</v>
      </c>
    </row>
    <row r="192" spans="2:6" ht="15" x14ac:dyDescent="0.2">
      <c r="B192" s="115">
        <f t="shared" si="50"/>
        <v>-0.3299999999999994</v>
      </c>
      <c r="C192" s="116">
        <f t="shared" si="46"/>
        <v>0.936286724068499</v>
      </c>
      <c r="D192" s="116">
        <f t="shared" si="47"/>
        <v>0</v>
      </c>
      <c r="E192" s="116">
        <f t="shared" si="48"/>
        <v>0</v>
      </c>
      <c r="F192" s="117">
        <f t="shared" si="49"/>
        <v>2</v>
      </c>
    </row>
    <row r="193" spans="2:6" ht="15" x14ac:dyDescent="0.2">
      <c r="B193" s="115">
        <f t="shared" si="50"/>
        <v>-0.3199999999999994</v>
      </c>
      <c r="C193" s="116">
        <f t="shared" si="46"/>
        <v>0.94021079713417666</v>
      </c>
      <c r="D193" s="116">
        <f t="shared" si="47"/>
        <v>0</v>
      </c>
      <c r="E193" s="116">
        <f t="shared" si="48"/>
        <v>0</v>
      </c>
      <c r="F193" s="117">
        <f t="shared" si="49"/>
        <v>2</v>
      </c>
    </row>
    <row r="194" spans="2:6" ht="15" x14ac:dyDescent="0.2">
      <c r="B194" s="115">
        <f t="shared" si="50"/>
        <v>-0.30999999999999939</v>
      </c>
      <c r="C194" s="116">
        <f t="shared" si="46"/>
        <v>0.94399856291519912</v>
      </c>
      <c r="D194" s="116">
        <f t="shared" si="47"/>
        <v>0</v>
      </c>
      <c r="E194" s="116">
        <f t="shared" si="48"/>
        <v>0</v>
      </c>
      <c r="F194" s="117">
        <f t="shared" si="49"/>
        <v>2</v>
      </c>
    </row>
    <row r="195" spans="2:6" ht="15" x14ac:dyDescent="0.2">
      <c r="B195" s="115">
        <f t="shared" si="50"/>
        <v>-0.29999999999999938</v>
      </c>
      <c r="C195" s="116">
        <f t="shared" si="46"/>
        <v>0.94765165587453781</v>
      </c>
      <c r="D195" s="116">
        <f t="shared" si="47"/>
        <v>0</v>
      </c>
      <c r="E195" s="116">
        <f t="shared" si="48"/>
        <v>0</v>
      </c>
      <c r="F195" s="117">
        <f t="shared" si="49"/>
        <v>2</v>
      </c>
    </row>
    <row r="196" spans="2:6" ht="15" x14ac:dyDescent="0.2">
      <c r="B196" s="115">
        <f t="shared" si="50"/>
        <v>-0.28999999999999937</v>
      </c>
      <c r="C196" s="116">
        <f t="shared" si="46"/>
        <v>0.95117162769663222</v>
      </c>
      <c r="D196" s="116">
        <f t="shared" si="47"/>
        <v>0</v>
      </c>
      <c r="E196" s="116">
        <f t="shared" si="48"/>
        <v>0</v>
      </c>
      <c r="F196" s="117">
        <f t="shared" si="49"/>
        <v>2</v>
      </c>
    </row>
    <row r="197" spans="2:6" ht="15" x14ac:dyDescent="0.2">
      <c r="B197" s="115">
        <f t="shared" si="50"/>
        <v>-0.27999999999999936</v>
      </c>
      <c r="C197" s="116">
        <f t="shared" si="46"/>
        <v>0.95455995104858815</v>
      </c>
      <c r="D197" s="116">
        <f t="shared" si="47"/>
        <v>0</v>
      </c>
      <c r="E197" s="116">
        <f t="shared" si="48"/>
        <v>0</v>
      </c>
      <c r="F197" s="117">
        <f t="shared" si="49"/>
        <v>2</v>
      </c>
    </row>
    <row r="198" spans="2:6" ht="15" x14ac:dyDescent="0.2">
      <c r="B198" s="115">
        <f t="shared" si="50"/>
        <v>-0.26999999999999935</v>
      </c>
      <c r="C198" s="116">
        <f t="shared" si="46"/>
        <v>0.95781802306817154</v>
      </c>
      <c r="D198" s="116">
        <f t="shared" si="47"/>
        <v>0</v>
      </c>
      <c r="E198" s="116">
        <f t="shared" si="48"/>
        <v>0</v>
      </c>
      <c r="F198" s="117">
        <f t="shared" si="49"/>
        <v>2</v>
      </c>
    </row>
    <row r="199" spans="2:6" ht="15" x14ac:dyDescent="0.2">
      <c r="B199" s="115">
        <f t="shared" si="50"/>
        <v>-0.25999999999999934</v>
      </c>
      <c r="C199" s="116">
        <f t="shared" si="46"/>
        <v>0.96094716859985219</v>
      </c>
      <c r="D199" s="116">
        <f t="shared" si="47"/>
        <v>0</v>
      </c>
      <c r="E199" s="116">
        <f t="shared" si="48"/>
        <v>0</v>
      </c>
      <c r="F199" s="117">
        <f t="shared" si="49"/>
        <v>2</v>
      </c>
    </row>
    <row r="200" spans="2:6" ht="15" x14ac:dyDescent="0.2">
      <c r="B200" s="115">
        <f t="shared" si="50"/>
        <v>-0.24999999999999933</v>
      </c>
      <c r="C200" s="116">
        <f t="shared" si="46"/>
        <v>0.9639486431980907</v>
      </c>
      <c r="D200" s="116">
        <f t="shared" si="47"/>
        <v>0</v>
      </c>
      <c r="E200" s="116">
        <f t="shared" si="48"/>
        <v>0</v>
      </c>
      <c r="F200" s="117">
        <f t="shared" si="49"/>
        <v>2</v>
      </c>
    </row>
    <row r="201" spans="2:6" ht="15" x14ac:dyDescent="0.2">
      <c r="B201" s="115">
        <f t="shared" si="50"/>
        <v>-0.23999999999999932</v>
      </c>
      <c r="C201" s="116">
        <f t="shared" si="46"/>
        <v>0.96682363591521814</v>
      </c>
      <c r="D201" s="116">
        <f t="shared" si="47"/>
        <v>0</v>
      </c>
      <c r="E201" s="116">
        <f t="shared" si="48"/>
        <v>0</v>
      </c>
      <c r="F201" s="117">
        <f t="shared" si="49"/>
        <v>2</v>
      </c>
    </row>
    <row r="202" spans="2:6" ht="15" x14ac:dyDescent="0.2">
      <c r="B202" s="115">
        <f t="shared" si="50"/>
        <v>-0.22999999999999932</v>
      </c>
      <c r="C202" s="116">
        <f t="shared" si="46"/>
        <v>0.96957327188960796</v>
      </c>
      <c r="D202" s="116">
        <f t="shared" si="47"/>
        <v>0</v>
      </c>
      <c r="E202" s="116">
        <f t="shared" si="48"/>
        <v>0</v>
      </c>
      <c r="F202" s="117">
        <f t="shared" si="49"/>
        <v>2</v>
      </c>
    </row>
    <row r="203" spans="2:6" ht="15" x14ac:dyDescent="0.2">
      <c r="B203" s="115">
        <f t="shared" si="50"/>
        <v>-0.21999999999999931</v>
      </c>
      <c r="C203" s="116">
        <f t="shared" si="46"/>
        <v>0.972198614748361</v>
      </c>
      <c r="D203" s="116">
        <f t="shared" si="47"/>
        <v>0</v>
      </c>
      <c r="E203" s="116">
        <f t="shared" si="48"/>
        <v>0</v>
      </c>
      <c r="F203" s="117">
        <f t="shared" si="49"/>
        <v>2</v>
      </c>
    </row>
    <row r="204" spans="2:6" ht="15" x14ac:dyDescent="0.2">
      <c r="B204" s="115">
        <f t="shared" si="50"/>
        <v>-0.2099999999999993</v>
      </c>
      <c r="C204" s="116">
        <f t="shared" si="46"/>
        <v>0.97470066883739204</v>
      </c>
      <c r="D204" s="116">
        <f t="shared" si="47"/>
        <v>0</v>
      </c>
      <c r="E204" s="116">
        <f t="shared" si="48"/>
        <v>0</v>
      </c>
      <c r="F204" s="117">
        <f t="shared" si="49"/>
        <v>2</v>
      </c>
    </row>
    <row r="205" spans="2:6" ht="15" x14ac:dyDescent="0.2">
      <c r="B205" s="115">
        <f t="shared" si="50"/>
        <v>-0.19999999999999929</v>
      </c>
      <c r="C205" s="116">
        <f t="shared" si="46"/>
        <v>0.97708038129060892</v>
      </c>
      <c r="D205" s="116">
        <f t="shared" si="47"/>
        <v>0</v>
      </c>
      <c r="E205" s="116">
        <f t="shared" si="48"/>
        <v>0</v>
      </c>
      <c r="F205" s="117">
        <f t="shared" si="49"/>
        <v>2</v>
      </c>
    </row>
    <row r="206" spans="2:6" ht="15" x14ac:dyDescent="0.2">
      <c r="B206" s="115">
        <f t="shared" si="50"/>
        <v>-0.18999999999999928</v>
      </c>
      <c r="C206" s="116">
        <f t="shared" si="46"/>
        <v>0.97933864394879211</v>
      </c>
      <c r="D206" s="116">
        <f t="shared" si="47"/>
        <v>0</v>
      </c>
      <c r="E206" s="116">
        <f t="shared" si="48"/>
        <v>0</v>
      </c>
      <c r="F206" s="117">
        <f t="shared" si="49"/>
        <v>2</v>
      </c>
    </row>
    <row r="207" spans="2:6" ht="15" x14ac:dyDescent="0.2">
      <c r="B207" s="115">
        <f t="shared" si="50"/>
        <v>-0.17999999999999927</v>
      </c>
      <c r="C207" s="116">
        <f t="shared" si="46"/>
        <v>0.98147629513780488</v>
      </c>
      <c r="D207" s="116">
        <f t="shared" si="47"/>
        <v>0</v>
      </c>
      <c r="E207" s="116">
        <f t="shared" si="48"/>
        <v>0</v>
      </c>
      <c r="F207" s="117">
        <f t="shared" si="49"/>
        <v>2</v>
      </c>
    </row>
    <row r="208" spans="2:6" ht="15" x14ac:dyDescent="0.2">
      <c r="B208" s="115">
        <f t="shared" si="50"/>
        <v>-0.16999999999999926</v>
      </c>
      <c r="C208" s="116">
        <f t="shared" si="46"/>
        <v>0.98349412131487535</v>
      </c>
      <c r="D208" s="116">
        <f t="shared" si="47"/>
        <v>0</v>
      </c>
      <c r="E208" s="116">
        <f t="shared" si="48"/>
        <v>0</v>
      </c>
      <c r="F208" s="117">
        <f t="shared" si="49"/>
        <v>2</v>
      </c>
    </row>
    <row r="209" spans="2:6" ht="15" x14ac:dyDescent="0.2">
      <c r="B209" s="115">
        <f t="shared" si="50"/>
        <v>-0.15999999999999925</v>
      </c>
      <c r="C209" s="116">
        <f t="shared" si="46"/>
        <v>0.98539285859088765</v>
      </c>
      <c r="D209" s="116">
        <f t="shared" si="47"/>
        <v>0</v>
      </c>
      <c r="E209" s="116">
        <f t="shared" si="48"/>
        <v>0</v>
      </c>
      <c r="F209" s="117">
        <f t="shared" si="49"/>
        <v>2</v>
      </c>
    </row>
    <row r="210" spans="2:6" ht="15" x14ac:dyDescent="0.2">
      <c r="B210" s="115">
        <f t="shared" si="50"/>
        <v>-0.14999999999999925</v>
      </c>
      <c r="C210" s="116">
        <f t="shared" si="46"/>
        <v>0.98717319413588134</v>
      </c>
      <c r="D210" s="116">
        <f t="shared" si="47"/>
        <v>0</v>
      </c>
      <c r="E210" s="116">
        <f t="shared" si="48"/>
        <v>0</v>
      </c>
      <c r="F210" s="117">
        <f t="shared" si="49"/>
        <v>2</v>
      </c>
    </row>
    <row r="211" spans="2:6" ht="15" x14ac:dyDescent="0.2">
      <c r="B211" s="115">
        <f t="shared" si="50"/>
        <v>-0.13999999999999924</v>
      </c>
      <c r="C211" s="116">
        <f t="shared" si="46"/>
        <v>0.98883576747429136</v>
      </c>
      <c r="D211" s="116">
        <f t="shared" si="47"/>
        <v>0</v>
      </c>
      <c r="E211" s="116">
        <f t="shared" si="48"/>
        <v>0</v>
      </c>
      <c r="F211" s="117">
        <f t="shared" si="49"/>
        <v>2</v>
      </c>
    </row>
    <row r="212" spans="2:6" ht="15" x14ac:dyDescent="0.2">
      <c r="B212" s="115">
        <f t="shared" si="50"/>
        <v>-0.12999999999999923</v>
      </c>
      <c r="C212" s="116">
        <f t="shared" si="46"/>
        <v>0.99038117167584439</v>
      </c>
      <c r="D212" s="116">
        <f t="shared" si="47"/>
        <v>0</v>
      </c>
      <c r="E212" s="116">
        <f t="shared" si="48"/>
        <v>0</v>
      </c>
      <c r="F212" s="117">
        <f t="shared" si="49"/>
        <v>2</v>
      </c>
    </row>
    <row r="213" spans="2:6" ht="15" x14ac:dyDescent="0.2">
      <c r="B213" s="115">
        <f t="shared" si="50"/>
        <v>-0.11999999999999923</v>
      </c>
      <c r="C213" s="116">
        <f t="shared" si="46"/>
        <v>0.991809954447464</v>
      </c>
      <c r="D213" s="116">
        <f t="shared" si="47"/>
        <v>0</v>
      </c>
      <c r="E213" s="116">
        <f t="shared" si="48"/>
        <v>0</v>
      </c>
      <c r="F213" s="117">
        <f t="shared" si="49"/>
        <v>2</v>
      </c>
    </row>
    <row r="214" spans="2:6" ht="15" x14ac:dyDescent="0.2">
      <c r="B214" s="115">
        <f t="shared" si="50"/>
        <v>-0.10999999999999924</v>
      </c>
      <c r="C214" s="116">
        <f t="shared" si="46"/>
        <v>0.99312261913102051</v>
      </c>
      <c r="D214" s="116">
        <f t="shared" si="47"/>
        <v>0</v>
      </c>
      <c r="E214" s="116">
        <f t="shared" si="48"/>
        <v>0</v>
      </c>
      <c r="F214" s="117">
        <f t="shared" si="49"/>
        <v>2</v>
      </c>
    </row>
    <row r="215" spans="2:6" ht="15" x14ac:dyDescent="0.2">
      <c r="B215" s="115">
        <f t="shared" si="50"/>
        <v>-9.9999999999999242E-2</v>
      </c>
      <c r="C215" s="116">
        <f t="shared" si="46"/>
        <v>0.99431962561127718</v>
      </c>
      <c r="D215" s="116">
        <f t="shared" si="47"/>
        <v>0</v>
      </c>
      <c r="E215" s="116">
        <f t="shared" si="48"/>
        <v>0</v>
      </c>
      <c r="F215" s="117">
        <f t="shared" si="49"/>
        <v>2</v>
      </c>
    </row>
    <row r="216" spans="2:6" ht="15" x14ac:dyDescent="0.2">
      <c r="B216" s="115">
        <f t="shared" si="50"/>
        <v>-8.9999999999999247E-2</v>
      </c>
      <c r="C216" s="116">
        <f t="shared" si="46"/>
        <v>0.9954013911379459</v>
      </c>
      <c r="D216" s="116">
        <f t="shared" si="47"/>
        <v>0</v>
      </c>
      <c r="E216" s="116">
        <f t="shared" si="48"/>
        <v>0</v>
      </c>
      <c r="F216" s="117">
        <f t="shared" si="49"/>
        <v>2</v>
      </c>
    </row>
    <row r="217" spans="2:6" ht="15" x14ac:dyDescent="0.2">
      <c r="B217" s="115">
        <f t="shared" si="50"/>
        <v>-7.9999999999999252E-2</v>
      </c>
      <c r="C217" s="116">
        <f t="shared" si="46"/>
        <v>0.99636829106534719</v>
      </c>
      <c r="D217" s="116">
        <f t="shared" si="47"/>
        <v>0</v>
      </c>
      <c r="E217" s="116">
        <f t="shared" si="48"/>
        <v>0</v>
      </c>
      <c r="F217" s="117">
        <f t="shared" si="49"/>
        <v>2</v>
      </c>
    </row>
    <row r="218" spans="2:6" ht="15" x14ac:dyDescent="0.2">
      <c r="B218" s="115">
        <f t="shared" si="50"/>
        <v>-6.9999999999999257E-2</v>
      </c>
      <c r="C218" s="116">
        <f t="shared" si="46"/>
        <v>0.99722065951278693</v>
      </c>
      <c r="D218" s="116">
        <f t="shared" si="47"/>
        <v>0</v>
      </c>
      <c r="E218" s="116">
        <f t="shared" si="48"/>
        <v>0</v>
      </c>
      <c r="F218" s="117">
        <f t="shared" si="49"/>
        <v>2</v>
      </c>
    </row>
    <row r="219" spans="2:6" ht="15" x14ac:dyDescent="0.2">
      <c r="B219" s="115">
        <f t="shared" si="50"/>
        <v>-5.9999999999999255E-2</v>
      </c>
      <c r="C219" s="116">
        <f t="shared" si="46"/>
        <v>0.99795878994839771</v>
      </c>
      <c r="D219" s="116">
        <f t="shared" si="47"/>
        <v>0</v>
      </c>
      <c r="E219" s="116">
        <f t="shared" si="48"/>
        <v>0</v>
      </c>
      <c r="F219" s="117">
        <f t="shared" si="49"/>
        <v>2</v>
      </c>
    </row>
    <row r="220" spans="2:6" ht="15" x14ac:dyDescent="0.2">
      <c r="B220" s="115">
        <f t="shared" si="50"/>
        <v>-4.9999999999999253E-2</v>
      </c>
      <c r="C220" s="116">
        <f t="shared" si="46"/>
        <v>0.99858293569885204</v>
      </c>
      <c r="D220" s="116">
        <f t="shared" si="47"/>
        <v>0</v>
      </c>
      <c r="E220" s="116">
        <f t="shared" si="48"/>
        <v>0</v>
      </c>
      <c r="F220" s="117">
        <f t="shared" si="49"/>
        <v>2</v>
      </c>
    </row>
    <row r="221" spans="2:6" ht="15" x14ac:dyDescent="0.2">
      <c r="B221" s="115">
        <f t="shared" si="50"/>
        <v>-3.9999999999999251E-2</v>
      </c>
      <c r="C221" s="116">
        <f t="shared" si="46"/>
        <v>0.99909331038703286</v>
      </c>
      <c r="D221" s="116">
        <f t="shared" si="47"/>
        <v>0</v>
      </c>
      <c r="E221" s="116">
        <f t="shared" si="48"/>
        <v>0</v>
      </c>
      <c r="F221" s="117">
        <f t="shared" si="49"/>
        <v>2</v>
      </c>
    </row>
    <row r="222" spans="2:6" ht="15" x14ac:dyDescent="0.2">
      <c r="B222" s="115">
        <f t="shared" ref="B222:B253" si="51">B221+$C$120</f>
        <v>-2.9999999999999249E-2</v>
      </c>
      <c r="C222" s="116">
        <f t="shared" si="46"/>
        <v>0.99949008829943764</v>
      </c>
      <c r="D222" s="116">
        <f t="shared" si="47"/>
        <v>0</v>
      </c>
      <c r="E222" s="116">
        <f t="shared" si="48"/>
        <v>0</v>
      </c>
      <c r="F222" s="117">
        <f t="shared" si="49"/>
        <v>2</v>
      </c>
    </row>
    <row r="223" spans="2:6" ht="15" x14ac:dyDescent="0.2">
      <c r="B223" s="115">
        <f t="shared" si="51"/>
        <v>-1.9999999999999248E-2</v>
      </c>
      <c r="C223" s="116">
        <f t="shared" si="46"/>
        <v>0.99977340468479658</v>
      </c>
      <c r="D223" s="116">
        <f t="shared" si="47"/>
        <v>0</v>
      </c>
      <c r="E223" s="116">
        <f t="shared" si="48"/>
        <v>0</v>
      </c>
      <c r="F223" s="117">
        <f t="shared" si="49"/>
        <v>2</v>
      </c>
    </row>
    <row r="224" spans="2:6" ht="15" x14ac:dyDescent="0.2">
      <c r="B224" s="115">
        <f t="shared" si="51"/>
        <v>-9.9999999999992473E-3</v>
      </c>
      <c r="C224" s="116">
        <f t="shared" si="46"/>
        <v>0.99994335598510653</v>
      </c>
      <c r="D224" s="116">
        <f t="shared" si="47"/>
        <v>0</v>
      </c>
      <c r="E224" s="116">
        <f t="shared" si="48"/>
        <v>0</v>
      </c>
      <c r="F224" s="117">
        <f t="shared" si="49"/>
        <v>2</v>
      </c>
    </row>
    <row r="225" spans="2:6" ht="15" x14ac:dyDescent="0.2">
      <c r="B225" s="115">
        <f t="shared" si="51"/>
        <v>7.5286998857393428E-16</v>
      </c>
      <c r="C225" s="116">
        <f t="shared" si="46"/>
        <v>1</v>
      </c>
      <c r="D225" s="116">
        <f t="shared" si="47"/>
        <v>0</v>
      </c>
      <c r="E225" s="116">
        <f t="shared" si="48"/>
        <v>0</v>
      </c>
      <c r="F225" s="117">
        <f t="shared" si="49"/>
        <v>2</v>
      </c>
    </row>
    <row r="226" spans="2:6" ht="15" x14ac:dyDescent="0.2">
      <c r="B226" s="115">
        <f t="shared" si="51"/>
        <v>1.0000000000000753E-2</v>
      </c>
      <c r="C226" s="116">
        <f t="shared" si="46"/>
        <v>0.99994335598510653</v>
      </c>
      <c r="D226" s="116">
        <f t="shared" si="47"/>
        <v>0</v>
      </c>
      <c r="E226" s="116">
        <f t="shared" si="48"/>
        <v>5.6644014893469929E-5</v>
      </c>
      <c r="F226" s="117">
        <f t="shared" si="49"/>
        <v>1.9998867119702131</v>
      </c>
    </row>
    <row r="227" spans="2:6" ht="15" x14ac:dyDescent="0.2">
      <c r="B227" s="115">
        <f t="shared" si="51"/>
        <v>2.0000000000000753E-2</v>
      </c>
      <c r="C227" s="116">
        <f t="shared" si="46"/>
        <v>0.99977340468479658</v>
      </c>
      <c r="D227" s="116">
        <f t="shared" si="47"/>
        <v>0</v>
      </c>
      <c r="E227" s="116">
        <f t="shared" si="48"/>
        <v>2.2659531520341503E-4</v>
      </c>
      <c r="F227" s="117">
        <f t="shared" si="49"/>
        <v>1.9995468093695932</v>
      </c>
    </row>
    <row r="228" spans="2:6" ht="15" x14ac:dyDescent="0.2">
      <c r="B228" s="115">
        <f t="shared" si="51"/>
        <v>3.0000000000000755E-2</v>
      </c>
      <c r="C228" s="116">
        <f t="shared" si="46"/>
        <v>0.99949008829943753</v>
      </c>
      <c r="D228" s="116">
        <f t="shared" si="47"/>
        <v>0</v>
      </c>
      <c r="E228" s="116">
        <f t="shared" si="48"/>
        <v>5.0991170056247093E-4</v>
      </c>
      <c r="F228" s="117">
        <f t="shared" si="49"/>
        <v>1.9989801765988751</v>
      </c>
    </row>
    <row r="229" spans="2:6" ht="15" x14ac:dyDescent="0.2">
      <c r="B229" s="115">
        <f t="shared" si="51"/>
        <v>4.0000000000000757E-2</v>
      </c>
      <c r="C229" s="116">
        <f t="shared" si="46"/>
        <v>0.99909331038703286</v>
      </c>
      <c r="D229" s="116">
        <f t="shared" si="47"/>
        <v>0</v>
      </c>
      <c r="E229" s="116">
        <f t="shared" si="48"/>
        <v>9.0668961296713757E-4</v>
      </c>
      <c r="F229" s="117">
        <f t="shared" si="49"/>
        <v>1.9981866207740657</v>
      </c>
    </row>
    <row r="230" spans="2:6" ht="15" x14ac:dyDescent="0.2">
      <c r="B230" s="115">
        <f t="shared" si="51"/>
        <v>5.0000000000000759E-2</v>
      </c>
      <c r="C230" s="116">
        <f t="shared" si="46"/>
        <v>0.99858293569885193</v>
      </c>
      <c r="D230" s="116">
        <f t="shared" si="47"/>
        <v>0</v>
      </c>
      <c r="E230" s="116">
        <f t="shared" si="48"/>
        <v>1.4170643011480744E-3</v>
      </c>
      <c r="F230" s="117">
        <f t="shared" si="49"/>
        <v>1.9971658713977039</v>
      </c>
    </row>
    <row r="231" spans="2:6" ht="15" x14ac:dyDescent="0.2">
      <c r="B231" s="115">
        <f t="shared" si="51"/>
        <v>6.0000000000000761E-2</v>
      </c>
      <c r="C231" s="116">
        <f t="shared" si="46"/>
        <v>0.9979587899483976</v>
      </c>
      <c r="D231" s="116">
        <f t="shared" si="47"/>
        <v>0</v>
      </c>
      <c r="E231" s="116">
        <f t="shared" si="48"/>
        <v>2.0412100516024045E-3</v>
      </c>
      <c r="F231" s="117">
        <f t="shared" si="49"/>
        <v>1.9959175798967952</v>
      </c>
    </row>
    <row r="232" spans="2:6" ht="15" x14ac:dyDescent="0.2">
      <c r="B232" s="115">
        <f t="shared" si="51"/>
        <v>7.0000000000000756E-2</v>
      </c>
      <c r="C232" s="116">
        <f t="shared" si="46"/>
        <v>0.99722065951278682</v>
      </c>
      <c r="D232" s="116">
        <f t="shared" si="47"/>
        <v>0</v>
      </c>
      <c r="E232" s="116">
        <f t="shared" si="48"/>
        <v>2.7793404872131777E-3</v>
      </c>
      <c r="F232" s="117">
        <f t="shared" si="49"/>
        <v>1.9944413190255736</v>
      </c>
    </row>
    <row r="233" spans="2:6" ht="15" x14ac:dyDescent="0.2">
      <c r="B233" s="115">
        <f t="shared" si="51"/>
        <v>8.0000000000000751E-2</v>
      </c>
      <c r="C233" s="116">
        <f t="shared" si="46"/>
        <v>0.99636829106534697</v>
      </c>
      <c r="D233" s="116">
        <f t="shared" si="47"/>
        <v>0</v>
      </c>
      <c r="E233" s="116">
        <f t="shared" si="48"/>
        <v>3.6317089346530329E-3</v>
      </c>
      <c r="F233" s="117">
        <f t="shared" si="49"/>
        <v>1.9927365821306939</v>
      </c>
    </row>
    <row r="234" spans="2:6" ht="15" x14ac:dyDescent="0.2">
      <c r="B234" s="115">
        <f t="shared" si="51"/>
        <v>9.0000000000000746E-2</v>
      </c>
      <c r="C234" s="116">
        <f t="shared" si="46"/>
        <v>0.99540139113794568</v>
      </c>
      <c r="D234" s="116">
        <f t="shared" si="47"/>
        <v>0</v>
      </c>
      <c r="E234" s="116">
        <f t="shared" si="48"/>
        <v>4.5986088620543208E-3</v>
      </c>
      <c r="F234" s="117">
        <f t="shared" si="49"/>
        <v>1.9908027822758914</v>
      </c>
    </row>
    <row r="235" spans="2:6" ht="15" x14ac:dyDescent="0.2">
      <c r="B235" s="115">
        <f t="shared" si="51"/>
        <v>0.10000000000000074</v>
      </c>
      <c r="C235" s="116">
        <f t="shared" si="46"/>
        <v>0.99431962561127707</v>
      </c>
      <c r="D235" s="116">
        <f t="shared" si="47"/>
        <v>0</v>
      </c>
      <c r="E235" s="116">
        <f t="shared" si="48"/>
        <v>5.6803743887229308E-3</v>
      </c>
      <c r="F235" s="117">
        <f t="shared" si="49"/>
        <v>1.9886392512225541</v>
      </c>
    </row>
    <row r="236" spans="2:6" ht="15" x14ac:dyDescent="0.2">
      <c r="B236" s="115">
        <f t="shared" si="51"/>
        <v>0.11000000000000074</v>
      </c>
      <c r="C236" s="116">
        <f t="shared" si="46"/>
        <v>0.9931226191310204</v>
      </c>
      <c r="D236" s="116">
        <f t="shared" si="47"/>
        <v>0</v>
      </c>
      <c r="E236" s="116">
        <f t="shared" si="48"/>
        <v>6.877380868979599E-3</v>
      </c>
      <c r="F236" s="117">
        <f t="shared" si="49"/>
        <v>1.9862452382620408</v>
      </c>
    </row>
    <row r="237" spans="2:6" ht="15" x14ac:dyDescent="0.2">
      <c r="B237" s="115">
        <f t="shared" si="51"/>
        <v>0.12000000000000073</v>
      </c>
      <c r="C237" s="116">
        <f t="shared" si="46"/>
        <v>0.99180995444746378</v>
      </c>
      <c r="D237" s="116">
        <f t="shared" si="47"/>
        <v>0</v>
      </c>
      <c r="E237" s="116">
        <f t="shared" si="48"/>
        <v>8.1900455525362181E-3</v>
      </c>
      <c r="F237" s="117">
        <f t="shared" si="49"/>
        <v>1.9836199088949276</v>
      </c>
    </row>
    <row r="238" spans="2:6" ht="15" x14ac:dyDescent="0.2">
      <c r="B238" s="115">
        <f t="shared" si="51"/>
        <v>0.13000000000000073</v>
      </c>
      <c r="C238" s="116">
        <f t="shared" si="46"/>
        <v>0.99038117167584416</v>
      </c>
      <c r="D238" s="116">
        <f t="shared" si="47"/>
        <v>0</v>
      </c>
      <c r="E238" s="116">
        <f t="shared" si="48"/>
        <v>9.618828324155837E-3</v>
      </c>
      <c r="F238" s="117">
        <f t="shared" si="49"/>
        <v>1.9807623433516883</v>
      </c>
    </row>
    <row r="239" spans="2:6" ht="15" x14ac:dyDescent="0.2">
      <c r="B239" s="115">
        <f t="shared" si="51"/>
        <v>0.14000000000000073</v>
      </c>
      <c r="C239" s="116">
        <f t="shared" si="46"/>
        <v>0.98883576747429114</v>
      </c>
      <c r="D239" s="116">
        <f t="shared" si="47"/>
        <v>0</v>
      </c>
      <c r="E239" s="116">
        <f t="shared" si="48"/>
        <v>1.1164232525708861E-2</v>
      </c>
      <c r="F239" s="117">
        <f t="shared" si="49"/>
        <v>1.9776715349485823</v>
      </c>
    </row>
    <row r="240" spans="2:6" ht="15" x14ac:dyDescent="0.2">
      <c r="B240" s="115">
        <f t="shared" si="51"/>
        <v>0.15000000000000074</v>
      </c>
      <c r="C240" s="116">
        <f t="shared" si="46"/>
        <v>0.98717319413588112</v>
      </c>
      <c r="D240" s="116">
        <f t="shared" si="47"/>
        <v>0</v>
      </c>
      <c r="E240" s="116">
        <f t="shared" si="48"/>
        <v>1.2826805864118884E-2</v>
      </c>
      <c r="F240" s="117">
        <f t="shared" si="49"/>
        <v>1.9743463882717622</v>
      </c>
    </row>
    <row r="241" spans="2:6" ht="15" x14ac:dyDescent="0.2">
      <c r="B241" s="115">
        <f t="shared" si="51"/>
        <v>0.16000000000000075</v>
      </c>
      <c r="C241" s="116">
        <f t="shared" si="46"/>
        <v>0.98539285859088743</v>
      </c>
      <c r="D241" s="116">
        <f t="shared" si="47"/>
        <v>0</v>
      </c>
      <c r="E241" s="116">
        <f t="shared" si="48"/>
        <v>1.4607141409112567E-2</v>
      </c>
      <c r="F241" s="117">
        <f t="shared" si="49"/>
        <v>1.9707857171817749</v>
      </c>
    </row>
    <row r="242" spans="2:6" ht="15" x14ac:dyDescent="0.2">
      <c r="B242" s="115">
        <f t="shared" si="51"/>
        <v>0.17000000000000076</v>
      </c>
      <c r="C242" s="116">
        <f t="shared" si="46"/>
        <v>0.98349412131487501</v>
      </c>
      <c r="D242" s="116">
        <f t="shared" si="47"/>
        <v>0</v>
      </c>
      <c r="E242" s="116">
        <f t="shared" si="48"/>
        <v>1.6505878685124986E-2</v>
      </c>
      <c r="F242" s="117">
        <f t="shared" si="49"/>
        <v>1.96698824262975</v>
      </c>
    </row>
    <row r="243" spans="2:6" ht="15" x14ac:dyDescent="0.2">
      <c r="B243" s="115">
        <f t="shared" si="51"/>
        <v>0.18000000000000077</v>
      </c>
      <c r="C243" s="116">
        <f t="shared" si="46"/>
        <v>0.98147629513780454</v>
      </c>
      <c r="D243" s="116">
        <f t="shared" si="47"/>
        <v>0</v>
      </c>
      <c r="E243" s="116">
        <f t="shared" si="48"/>
        <v>1.8523704862195456E-2</v>
      </c>
      <c r="F243" s="117">
        <f t="shared" si="49"/>
        <v>1.9629525902756091</v>
      </c>
    </row>
    <row r="244" spans="2:6" ht="15" x14ac:dyDescent="0.2">
      <c r="B244" s="115">
        <f t="shared" si="51"/>
        <v>0.19000000000000078</v>
      </c>
      <c r="C244" s="116">
        <f t="shared" si="46"/>
        <v>0.97933864394879178</v>
      </c>
      <c r="D244" s="116">
        <f t="shared" si="47"/>
        <v>0</v>
      </c>
      <c r="E244" s="116">
        <f t="shared" si="48"/>
        <v>2.0661356051208224E-2</v>
      </c>
      <c r="F244" s="117">
        <f t="shared" si="49"/>
        <v>1.9586772878975836</v>
      </c>
    </row>
    <row r="245" spans="2:6" ht="15" x14ac:dyDescent="0.2">
      <c r="B245" s="115">
        <f t="shared" si="51"/>
        <v>0.20000000000000079</v>
      </c>
      <c r="C245" s="116">
        <f t="shared" si="46"/>
        <v>0.97708038129060859</v>
      </c>
      <c r="D245" s="116">
        <f t="shared" si="47"/>
        <v>0</v>
      </c>
      <c r="E245" s="116">
        <f t="shared" si="48"/>
        <v>2.2919618709391409E-2</v>
      </c>
      <c r="F245" s="117">
        <f t="shared" si="49"/>
        <v>1.9541607625812172</v>
      </c>
    </row>
    <row r="246" spans="2:6" ht="15" x14ac:dyDescent="0.2">
      <c r="B246" s="115">
        <f t="shared" si="51"/>
        <v>0.2100000000000008</v>
      </c>
      <c r="C246" s="116">
        <f t="shared" si="46"/>
        <v>0.97470066883739159</v>
      </c>
      <c r="D246" s="116">
        <f t="shared" si="47"/>
        <v>0</v>
      </c>
      <c r="E246" s="116">
        <f t="shared" si="48"/>
        <v>2.5299331162608407E-2</v>
      </c>
      <c r="F246" s="117">
        <f t="shared" si="49"/>
        <v>1.9494013376747832</v>
      </c>
    </row>
    <row r="247" spans="2:6" ht="15" x14ac:dyDescent="0.2">
      <c r="B247" s="115">
        <f t="shared" si="51"/>
        <v>0.22000000000000081</v>
      </c>
      <c r="C247" s="116">
        <f t="shared" si="46"/>
        <v>0.97219861474836056</v>
      </c>
      <c r="D247" s="116">
        <f t="shared" si="47"/>
        <v>0</v>
      </c>
      <c r="E247" s="116">
        <f t="shared" si="48"/>
        <v>2.7801385251639443E-2</v>
      </c>
      <c r="F247" s="117">
        <f t="shared" si="49"/>
        <v>1.9443972294967211</v>
      </c>
    </row>
    <row r="248" spans="2:6" ht="15" x14ac:dyDescent="0.2">
      <c r="B248" s="115">
        <f t="shared" si="51"/>
        <v>0.23000000000000081</v>
      </c>
      <c r="C248" s="116">
        <f t="shared" si="46"/>
        <v>0.96957327188960751</v>
      </c>
      <c r="D248" s="116">
        <f t="shared" si="47"/>
        <v>0</v>
      </c>
      <c r="E248" s="116">
        <f t="shared" si="48"/>
        <v>3.0426728110392487E-2</v>
      </c>
      <c r="F248" s="117">
        <f t="shared" si="49"/>
        <v>1.939146543779215</v>
      </c>
    </row>
    <row r="249" spans="2:6" ht="15" x14ac:dyDescent="0.2">
      <c r="B249" s="115">
        <f t="shared" si="51"/>
        <v>0.24000000000000082</v>
      </c>
      <c r="C249" s="116">
        <f t="shared" si="46"/>
        <v>0.96682363591521769</v>
      </c>
      <c r="D249" s="116">
        <f t="shared" si="47"/>
        <v>0</v>
      </c>
      <c r="E249" s="116">
        <f t="shared" si="48"/>
        <v>3.3176364084782306E-2</v>
      </c>
      <c r="F249" s="117">
        <f t="shared" si="49"/>
        <v>1.9336472718304354</v>
      </c>
    </row>
    <row r="250" spans="2:6" ht="15" x14ac:dyDescent="0.2">
      <c r="B250" s="115">
        <f t="shared" si="51"/>
        <v>0.25000000000000083</v>
      </c>
      <c r="C250" s="116">
        <f t="shared" si="46"/>
        <v>0.96394864319809026</v>
      </c>
      <c r="D250" s="116">
        <f t="shared" si="47"/>
        <v>0</v>
      </c>
      <c r="E250" s="116">
        <f t="shared" si="48"/>
        <v>3.605135680190974E-2</v>
      </c>
      <c r="F250" s="117">
        <f t="shared" si="49"/>
        <v>1.9278972863961805</v>
      </c>
    </row>
    <row r="251" spans="2:6" ht="15" x14ac:dyDescent="0.2">
      <c r="B251" s="115">
        <f t="shared" si="51"/>
        <v>0.26000000000000084</v>
      </c>
      <c r="C251" s="116">
        <f t="shared" si="46"/>
        <v>0.96094716859985163</v>
      </c>
      <c r="D251" s="116">
        <f t="shared" si="47"/>
        <v>0</v>
      </c>
      <c r="E251" s="116">
        <f t="shared" si="48"/>
        <v>3.9052831400148369E-2</v>
      </c>
      <c r="F251" s="117">
        <f t="shared" si="49"/>
        <v>1.9218943371997033</v>
      </c>
    </row>
    <row r="252" spans="2:6" ht="15" x14ac:dyDescent="0.2">
      <c r="B252" s="115">
        <f t="shared" si="51"/>
        <v>0.27000000000000085</v>
      </c>
      <c r="C252" s="116">
        <f t="shared" si="46"/>
        <v>0.95781802306817099</v>
      </c>
      <c r="D252" s="116">
        <f t="shared" si="47"/>
        <v>0</v>
      </c>
      <c r="E252" s="116">
        <f t="shared" si="48"/>
        <v>4.2181976931829013E-2</v>
      </c>
      <c r="F252" s="117">
        <f t="shared" si="49"/>
        <v>1.915636046136342</v>
      </c>
    </row>
    <row r="253" spans="2:6" ht="15" x14ac:dyDescent="0.2">
      <c r="B253" s="115">
        <f t="shared" si="51"/>
        <v>0.28000000000000086</v>
      </c>
      <c r="C253" s="116">
        <f t="shared" ref="C253:C316" si="52">IFERROR(IF(SQRT(1-(B253*B253)/($F$121*$F$121))&lt;0.05,0,SQRT(1-(B253*B253)/($F$121*$F$121))),0)</f>
        <v>0.9545599510485876</v>
      </c>
      <c r="D253" s="116">
        <f t="shared" ref="D253:D316" si="53">CHOOSE(MATCH($F$119,degrees),IF(B253&lt;0,IFERROR(1-C253,1),0),0,0,IF(B253&gt;0,IFERROR(1-C253,1),0))</f>
        <v>0</v>
      </c>
      <c r="E253" s="116">
        <f t="shared" ref="E253:E316" si="54">CHOOSE(MATCH($F$119,degrees),IF(B253&lt;0,2*C253,2),IF(B253&lt;0,0,1-C253),IF(B253&gt;0,0,1-C253),IF(B253&gt;0,2*C253,2))</f>
        <v>4.5440048951412404E-2</v>
      </c>
      <c r="F253" s="117">
        <f t="shared" ref="F253:F316" si="55">CHOOSE(MATCH($F$119,degrees),IF(B253&lt;0,C253+1,2),IF(B253&lt;0,2,2*C253),IF(B253&gt;0,2,2*C253),IF(B253&gt;0,C253+1,2))</f>
        <v>1.9091199020971752</v>
      </c>
    </row>
    <row r="254" spans="2:6" ht="15" x14ac:dyDescent="0.2">
      <c r="B254" s="115">
        <f t="shared" ref="B254:B285" si="56">B253+$C$120</f>
        <v>0.29000000000000087</v>
      </c>
      <c r="C254" s="116">
        <f t="shared" si="52"/>
        <v>0.95117162769663166</v>
      </c>
      <c r="D254" s="116">
        <f t="shared" si="53"/>
        <v>0</v>
      </c>
      <c r="E254" s="116">
        <f t="shared" si="54"/>
        <v>4.8828372303368339E-2</v>
      </c>
      <c r="F254" s="117">
        <f t="shared" si="55"/>
        <v>1.9023432553932633</v>
      </c>
    </row>
    <row r="255" spans="2:6" ht="15" x14ac:dyDescent="0.2">
      <c r="B255" s="115">
        <f t="shared" si="56"/>
        <v>0.30000000000000088</v>
      </c>
      <c r="C255" s="116">
        <f t="shared" si="52"/>
        <v>0.94765165587453726</v>
      </c>
      <c r="D255" s="116">
        <f t="shared" si="53"/>
        <v>0</v>
      </c>
      <c r="E255" s="116">
        <f t="shared" si="54"/>
        <v>5.2348344125462742E-2</v>
      </c>
      <c r="F255" s="117">
        <f t="shared" si="55"/>
        <v>1.8953033117490745</v>
      </c>
    </row>
    <row r="256" spans="2:6" ht="15" x14ac:dyDescent="0.2">
      <c r="B256" s="115">
        <f t="shared" si="56"/>
        <v>0.31000000000000089</v>
      </c>
      <c r="C256" s="116">
        <f t="shared" si="52"/>
        <v>0.94399856291519857</v>
      </c>
      <c r="D256" s="116">
        <f t="shared" si="53"/>
        <v>0</v>
      </c>
      <c r="E256" s="116">
        <f t="shared" si="54"/>
        <v>5.6001437084801431E-2</v>
      </c>
      <c r="F256" s="117">
        <f t="shared" si="55"/>
        <v>1.8879971258303971</v>
      </c>
    </row>
    <row r="257" spans="2:6" ht="15" x14ac:dyDescent="0.2">
      <c r="B257" s="115">
        <f t="shared" si="56"/>
        <v>0.32000000000000089</v>
      </c>
      <c r="C257" s="116">
        <f t="shared" si="52"/>
        <v>0.94021079713417599</v>
      </c>
      <c r="D257" s="116">
        <f t="shared" si="53"/>
        <v>0</v>
      </c>
      <c r="E257" s="116">
        <f t="shared" si="54"/>
        <v>5.9789202865824009E-2</v>
      </c>
      <c r="F257" s="117">
        <f t="shared" si="55"/>
        <v>1.880421594268352</v>
      </c>
    </row>
    <row r="258" spans="2:6" ht="15" x14ac:dyDescent="0.2">
      <c r="B258" s="115">
        <f t="shared" si="56"/>
        <v>0.3300000000000009</v>
      </c>
      <c r="C258" s="116">
        <f t="shared" si="52"/>
        <v>0.93628672406849844</v>
      </c>
      <c r="D258" s="116">
        <f t="shared" si="53"/>
        <v>0</v>
      </c>
      <c r="E258" s="116">
        <f t="shared" si="54"/>
        <v>6.3713275931501556E-2</v>
      </c>
      <c r="F258" s="117">
        <f t="shared" si="55"/>
        <v>1.8725734481369969</v>
      </c>
    </row>
    <row r="259" spans="2:6" ht="15" x14ac:dyDescent="0.2">
      <c r="B259" s="115">
        <f t="shared" si="56"/>
        <v>0.34000000000000091</v>
      </c>
      <c r="C259" s="116">
        <f t="shared" si="52"/>
        <v>0.93222462241869208</v>
      </c>
      <c r="D259" s="116">
        <f t="shared" si="53"/>
        <v>0</v>
      </c>
      <c r="E259" s="116">
        <f t="shared" si="54"/>
        <v>6.7775377581307916E-2</v>
      </c>
      <c r="F259" s="117">
        <f t="shared" si="55"/>
        <v>1.8644492448373842</v>
      </c>
    </row>
    <row r="260" spans="2:6" ht="15" x14ac:dyDescent="0.2">
      <c r="B260" s="115">
        <f t="shared" si="56"/>
        <v>0.35000000000000092</v>
      </c>
      <c r="C260" s="116">
        <f t="shared" si="52"/>
        <v>0.92802267966787366</v>
      </c>
      <c r="D260" s="116">
        <f t="shared" si="53"/>
        <v>0</v>
      </c>
      <c r="E260" s="116">
        <f t="shared" si="54"/>
        <v>7.1977320332126338E-2</v>
      </c>
      <c r="F260" s="117">
        <f t="shared" si="55"/>
        <v>1.8560453593357473</v>
      </c>
    </row>
    <row r="261" spans="2:6" ht="15" x14ac:dyDescent="0.2">
      <c r="B261" s="115">
        <f t="shared" si="56"/>
        <v>0.36000000000000093</v>
      </c>
      <c r="C261" s="116">
        <f t="shared" si="52"/>
        <v>0.92367898734881027</v>
      </c>
      <c r="D261" s="116">
        <f t="shared" si="53"/>
        <v>0</v>
      </c>
      <c r="E261" s="116">
        <f t="shared" si="54"/>
        <v>7.6321012651189735E-2</v>
      </c>
      <c r="F261" s="117">
        <f t="shared" si="55"/>
        <v>1.8473579746976205</v>
      </c>
    </row>
    <row r="262" spans="2:6" ht="15" x14ac:dyDescent="0.2">
      <c r="B262" s="115">
        <f t="shared" si="56"/>
        <v>0.37000000000000094</v>
      </c>
      <c r="C262" s="116">
        <f t="shared" si="52"/>
        <v>0.919191535926556</v>
      </c>
      <c r="D262" s="116">
        <f t="shared" si="53"/>
        <v>0</v>
      </c>
      <c r="E262" s="116">
        <f t="shared" si="54"/>
        <v>8.0808464073443997E-2</v>
      </c>
      <c r="F262" s="117">
        <f t="shared" si="55"/>
        <v>1.838383071853112</v>
      </c>
    </row>
    <row r="263" spans="2:6" ht="15" x14ac:dyDescent="0.2">
      <c r="B263" s="115">
        <f t="shared" si="56"/>
        <v>0.38000000000000095</v>
      </c>
      <c r="C263" s="116">
        <f t="shared" si="52"/>
        <v>0.91455820926053355</v>
      </c>
      <c r="D263" s="116">
        <f t="shared" si="53"/>
        <v>0</v>
      </c>
      <c r="E263" s="116">
        <f t="shared" si="54"/>
        <v>8.544179073946645E-2</v>
      </c>
      <c r="F263" s="117">
        <f t="shared" si="55"/>
        <v>1.8291164185210671</v>
      </c>
    </row>
    <row r="264" spans="2:6" ht="15" x14ac:dyDescent="0.2">
      <c r="B264" s="115">
        <f t="shared" si="56"/>
        <v>0.39000000000000096</v>
      </c>
      <c r="C264" s="116">
        <f t="shared" si="52"/>
        <v>0.90977677860569828</v>
      </c>
      <c r="D264" s="116">
        <f t="shared" si="53"/>
        <v>0</v>
      </c>
      <c r="E264" s="116">
        <f t="shared" si="54"/>
        <v>9.0223221394301722E-2</v>
      </c>
      <c r="F264" s="117">
        <f t="shared" si="55"/>
        <v>1.8195535572113966</v>
      </c>
    </row>
    <row r="265" spans="2:6" ht="15" x14ac:dyDescent="0.2">
      <c r="B265" s="115">
        <f t="shared" si="56"/>
        <v>0.40000000000000097</v>
      </c>
      <c r="C265" s="116">
        <f t="shared" si="52"/>
        <v>0.90484489610761709</v>
      </c>
      <c r="D265" s="116">
        <f t="shared" si="53"/>
        <v>0</v>
      </c>
      <c r="E265" s="116">
        <f t="shared" si="54"/>
        <v>9.5155103892382908E-2</v>
      </c>
      <c r="F265" s="117">
        <f t="shared" si="55"/>
        <v>1.8096897922152342</v>
      </c>
    </row>
    <row r="266" spans="2:6" ht="15" x14ac:dyDescent="0.2">
      <c r="B266" s="115">
        <f t="shared" si="56"/>
        <v>0.41000000000000097</v>
      </c>
      <c r="C266" s="116">
        <f t="shared" si="52"/>
        <v>0.89976008774081673</v>
      </c>
      <c r="D266" s="116">
        <f t="shared" si="53"/>
        <v>0</v>
      </c>
      <c r="E266" s="116">
        <f t="shared" si="54"/>
        <v>0.10023991225918327</v>
      </c>
      <c r="F266" s="117">
        <f t="shared" si="55"/>
        <v>1.7995201754816335</v>
      </c>
    </row>
    <row r="267" spans="2:6" ht="15" x14ac:dyDescent="0.2">
      <c r="B267" s="115">
        <f t="shared" si="56"/>
        <v>0.42000000000000098</v>
      </c>
      <c r="C267" s="116">
        <f t="shared" si="52"/>
        <v>0.89451974563350745</v>
      </c>
      <c r="D267" s="116">
        <f t="shared" si="53"/>
        <v>0</v>
      </c>
      <c r="E267" s="116">
        <f t="shared" si="54"/>
        <v>0.10548025436649255</v>
      </c>
      <c r="F267" s="117">
        <f t="shared" si="55"/>
        <v>1.7890394912670149</v>
      </c>
    </row>
    <row r="268" spans="2:6" ht="15" x14ac:dyDescent="0.2">
      <c r="B268" s="115">
        <f t="shared" si="56"/>
        <v>0.43000000000000099</v>
      </c>
      <c r="C268" s="116">
        <f t="shared" si="52"/>
        <v>0.88912111971464414</v>
      </c>
      <c r="D268" s="116">
        <f t="shared" si="53"/>
        <v>0</v>
      </c>
      <c r="E268" s="116">
        <f t="shared" si="54"/>
        <v>0.11087888028535586</v>
      </c>
      <c r="F268" s="117">
        <f t="shared" si="55"/>
        <v>1.7782422394292883</v>
      </c>
    </row>
    <row r="269" spans="2:6" ht="15" x14ac:dyDescent="0.2">
      <c r="B269" s="115">
        <f t="shared" si="56"/>
        <v>0.440000000000001</v>
      </c>
      <c r="C269" s="116">
        <f t="shared" si="52"/>
        <v>0.88356130861108073</v>
      </c>
      <c r="D269" s="116">
        <f t="shared" si="53"/>
        <v>0</v>
      </c>
      <c r="E269" s="116">
        <f t="shared" si="54"/>
        <v>0.11643869138891927</v>
      </c>
      <c r="F269" s="117">
        <f t="shared" si="55"/>
        <v>1.7671226172221615</v>
      </c>
    </row>
    <row r="270" spans="2:6" ht="15" x14ac:dyDescent="0.2">
      <c r="B270" s="115">
        <f t="shared" si="56"/>
        <v>0.45000000000000101</v>
      </c>
      <c r="C270" s="116">
        <f t="shared" si="52"/>
        <v>0.87783724971314769</v>
      </c>
      <c r="D270" s="116">
        <f t="shared" si="53"/>
        <v>0</v>
      </c>
      <c r="E270" s="116">
        <f t="shared" si="54"/>
        <v>0.12216275028685231</v>
      </c>
      <c r="F270" s="117">
        <f t="shared" si="55"/>
        <v>1.7556744994262954</v>
      </c>
    </row>
    <row r="271" spans="2:6" ht="15" x14ac:dyDescent="0.2">
      <c r="B271" s="115">
        <f t="shared" si="56"/>
        <v>0.46000000000000102</v>
      </c>
      <c r="C271" s="116">
        <f t="shared" si="52"/>
        <v>0.87194570831610607</v>
      </c>
      <c r="D271" s="116">
        <f t="shared" si="53"/>
        <v>0</v>
      </c>
      <c r="E271" s="116">
        <f t="shared" si="54"/>
        <v>0.12805429168389393</v>
      </c>
      <c r="F271" s="117">
        <f t="shared" si="55"/>
        <v>1.7438914166322121</v>
      </c>
    </row>
    <row r="272" spans="2:6" ht="15" x14ac:dyDescent="0.2">
      <c r="B272" s="115">
        <f t="shared" si="56"/>
        <v>0.47000000000000103</v>
      </c>
      <c r="C272" s="116">
        <f t="shared" si="52"/>
        <v>0.86588326573235241</v>
      </c>
      <c r="D272" s="116">
        <f t="shared" si="53"/>
        <v>0</v>
      </c>
      <c r="E272" s="116">
        <f t="shared" si="54"/>
        <v>0.13411673426764759</v>
      </c>
      <c r="F272" s="117">
        <f t="shared" si="55"/>
        <v>1.7317665314647048</v>
      </c>
    </row>
    <row r="273" spans="2:6" ht="15" x14ac:dyDescent="0.2">
      <c r="B273" s="115">
        <f t="shared" si="56"/>
        <v>0.48000000000000104</v>
      </c>
      <c r="C273" s="116">
        <f t="shared" si="52"/>
        <v>0.85964630625466332</v>
      </c>
      <c r="D273" s="116">
        <f t="shared" si="53"/>
        <v>0</v>
      </c>
      <c r="E273" s="116">
        <f t="shared" si="54"/>
        <v>0.14035369374533668</v>
      </c>
      <c r="F273" s="117">
        <f t="shared" si="55"/>
        <v>1.7192926125093266</v>
      </c>
    </row>
    <row r="274" spans="2:6" ht="15" x14ac:dyDescent="0.2">
      <c r="B274" s="115">
        <f t="shared" si="56"/>
        <v>0.49000000000000105</v>
      </c>
      <c r="C274" s="116">
        <f t="shared" si="52"/>
        <v>0.85323100283379549</v>
      </c>
      <c r="D274" s="116">
        <f t="shared" si="53"/>
        <v>0</v>
      </c>
      <c r="E274" s="116">
        <f t="shared" si="54"/>
        <v>0.14676899716620451</v>
      </c>
      <c r="F274" s="117">
        <f t="shared" si="55"/>
        <v>1.706462005667591</v>
      </c>
    </row>
    <row r="275" spans="2:6" ht="15" x14ac:dyDescent="0.2">
      <c r="B275" s="115">
        <f t="shared" si="56"/>
        <v>0.500000000000001</v>
      </c>
      <c r="C275" s="116">
        <f t="shared" si="52"/>
        <v>0.84663330131394965</v>
      </c>
      <c r="D275" s="116">
        <f t="shared" si="53"/>
        <v>0</v>
      </c>
      <c r="E275" s="116">
        <f t="shared" si="54"/>
        <v>0.15336669868605035</v>
      </c>
      <c r="F275" s="117">
        <f t="shared" si="55"/>
        <v>1.6932666026278993</v>
      </c>
    </row>
    <row r="276" spans="2:6" ht="15" x14ac:dyDescent="0.2">
      <c r="B276" s="115">
        <f t="shared" si="56"/>
        <v>0.51000000000000101</v>
      </c>
      <c r="C276" s="116">
        <f t="shared" si="52"/>
        <v>0.83984890304641402</v>
      </c>
      <c r="D276" s="116">
        <f t="shared" si="53"/>
        <v>0</v>
      </c>
      <c r="E276" s="116">
        <f t="shared" si="54"/>
        <v>0.16015109695358598</v>
      </c>
      <c r="F276" s="117">
        <f t="shared" si="55"/>
        <v>1.679697806092828</v>
      </c>
    </row>
    <row r="277" spans="2:6" ht="15" x14ac:dyDescent="0.2">
      <c r="B277" s="115">
        <f t="shared" si="56"/>
        <v>0.52000000000000102</v>
      </c>
      <c r="C277" s="116">
        <f t="shared" si="52"/>
        <v>0.83287324567444698</v>
      </c>
      <c r="D277" s="116">
        <f t="shared" si="53"/>
        <v>0</v>
      </c>
      <c r="E277" s="116">
        <f t="shared" si="54"/>
        <v>0.16712675432555302</v>
      </c>
      <c r="F277" s="117">
        <f t="shared" si="55"/>
        <v>1.665746491348894</v>
      </c>
    </row>
    <row r="278" spans="2:6" ht="15" x14ac:dyDescent="0.2">
      <c r="B278" s="115">
        <f t="shared" si="56"/>
        <v>0.53000000000000103</v>
      </c>
      <c r="C278" s="116">
        <f t="shared" si="52"/>
        <v>0.82570148185032688</v>
      </c>
      <c r="D278" s="116">
        <f t="shared" si="53"/>
        <v>0</v>
      </c>
      <c r="E278" s="116">
        <f t="shared" si="54"/>
        <v>0.17429851814967312</v>
      </c>
      <c r="F278" s="117">
        <f t="shared" si="55"/>
        <v>1.6514029637006538</v>
      </c>
    </row>
    <row r="279" spans="2:6" ht="15" x14ac:dyDescent="0.2">
      <c r="B279" s="115">
        <f t="shared" si="56"/>
        <v>0.54000000000000103</v>
      </c>
      <c r="C279" s="116">
        <f t="shared" si="52"/>
        <v>0.81832845560745249</v>
      </c>
      <c r="D279" s="116">
        <f t="shared" si="53"/>
        <v>0</v>
      </c>
      <c r="E279" s="116">
        <f t="shared" si="54"/>
        <v>0.18167154439254751</v>
      </c>
      <c r="F279" s="117">
        <f t="shared" si="55"/>
        <v>1.636656911214905</v>
      </c>
    </row>
    <row r="280" spans="2:6" ht="15" x14ac:dyDescent="0.2">
      <c r="B280" s="115">
        <f t="shared" si="56"/>
        <v>0.55000000000000104</v>
      </c>
      <c r="C280" s="116">
        <f t="shared" si="52"/>
        <v>0.81074867606518253</v>
      </c>
      <c r="D280" s="116">
        <f t="shared" si="53"/>
        <v>0</v>
      </c>
      <c r="E280" s="116">
        <f t="shared" si="54"/>
        <v>0.18925132393481747</v>
      </c>
      <c r="F280" s="117">
        <f t="shared" si="55"/>
        <v>1.6214973521303651</v>
      </c>
    </row>
    <row r="281" spans="2:6" ht="15" x14ac:dyDescent="0.2">
      <c r="B281" s="115">
        <f t="shared" si="56"/>
        <v>0.56000000000000105</v>
      </c>
      <c r="C281" s="116">
        <f t="shared" si="52"/>
        <v>0.80295628809016062</v>
      </c>
      <c r="D281" s="116">
        <f t="shared" si="53"/>
        <v>0</v>
      </c>
      <c r="E281" s="116">
        <f t="shared" si="54"/>
        <v>0.19704371190983938</v>
      </c>
      <c r="F281" s="117">
        <f t="shared" si="55"/>
        <v>1.6059125761803212</v>
      </c>
    </row>
    <row r="282" spans="2:6" ht="15" x14ac:dyDescent="0.2">
      <c r="B282" s="115">
        <f t="shared" si="56"/>
        <v>0.57000000000000106</v>
      </c>
      <c r="C282" s="116">
        <f t="shared" si="52"/>
        <v>0.7949450394732499</v>
      </c>
      <c r="D282" s="116">
        <f t="shared" si="53"/>
        <v>0</v>
      </c>
      <c r="E282" s="116">
        <f t="shared" si="54"/>
        <v>0.2050549605267501</v>
      </c>
      <c r="F282" s="117">
        <f t="shared" si="55"/>
        <v>1.5898900789464998</v>
      </c>
    </row>
    <row r="283" spans="2:6" ht="15" x14ac:dyDescent="0.2">
      <c r="B283" s="115">
        <f t="shared" si="56"/>
        <v>0.58000000000000107</v>
      </c>
      <c r="C283" s="116">
        <f t="shared" si="52"/>
        <v>0.78670824410339046</v>
      </c>
      <c r="D283" s="116">
        <f t="shared" si="53"/>
        <v>0</v>
      </c>
      <c r="E283" s="116">
        <f t="shared" si="54"/>
        <v>0.21329175589660954</v>
      </c>
      <c r="F283" s="117">
        <f t="shared" si="55"/>
        <v>1.5734164882067809</v>
      </c>
    </row>
    <row r="284" spans="2:6" ht="15" x14ac:dyDescent="0.2">
      <c r="B284" s="115">
        <f t="shared" si="56"/>
        <v>0.59000000000000108</v>
      </c>
      <c r="C284" s="116">
        <f t="shared" si="52"/>
        <v>0.77823874052559705</v>
      </c>
      <c r="D284" s="116">
        <f t="shared" si="53"/>
        <v>0</v>
      </c>
      <c r="E284" s="116">
        <f t="shared" si="54"/>
        <v>0.22176125947440295</v>
      </c>
      <c r="F284" s="117">
        <f t="shared" si="55"/>
        <v>1.5564774810511941</v>
      </c>
    </row>
    <row r="285" spans="2:6" ht="15" x14ac:dyDescent="0.2">
      <c r="B285" s="115">
        <f t="shared" si="56"/>
        <v>0.60000000000000109</v>
      </c>
      <c r="C285" s="116">
        <f t="shared" si="52"/>
        <v>0.76952884515592423</v>
      </c>
      <c r="D285" s="116">
        <f t="shared" si="53"/>
        <v>0</v>
      </c>
      <c r="E285" s="116">
        <f t="shared" si="54"/>
        <v>0.23047115484407577</v>
      </c>
      <c r="F285" s="117">
        <f t="shared" si="55"/>
        <v>1.5390576903118485</v>
      </c>
    </row>
    <row r="286" spans="2:6" ht="15" x14ac:dyDescent="0.2">
      <c r="B286" s="115">
        <f t="shared" ref="B286:B317" si="57">B285+$C$120</f>
        <v>0.6100000000000011</v>
      </c>
      <c r="C286" s="116">
        <f t="shared" si="52"/>
        <v>0.76057029928644226</v>
      </c>
      <c r="D286" s="116">
        <f t="shared" si="53"/>
        <v>0</v>
      </c>
      <c r="E286" s="116">
        <f t="shared" si="54"/>
        <v>0.23942970071355774</v>
      </c>
      <c r="F286" s="117">
        <f t="shared" si="55"/>
        <v>1.5211405985728845</v>
      </c>
    </row>
    <row r="287" spans="2:6" ht="15" x14ac:dyDescent="0.2">
      <c r="B287" s="115">
        <f t="shared" si="57"/>
        <v>0.62000000000000111</v>
      </c>
      <c r="C287" s="116">
        <f t="shared" si="52"/>
        <v>0.75135420884150317</v>
      </c>
      <c r="D287" s="116">
        <f t="shared" si="53"/>
        <v>0</v>
      </c>
      <c r="E287" s="116">
        <f t="shared" si="54"/>
        <v>0.24864579115849683</v>
      </c>
      <c r="F287" s="117">
        <f t="shared" si="55"/>
        <v>1.5027084176830063</v>
      </c>
    </row>
    <row r="288" spans="2:6" ht="15" x14ac:dyDescent="0.2">
      <c r="B288" s="115">
        <f t="shared" si="57"/>
        <v>0.63000000000000111</v>
      </c>
      <c r="C288" s="116">
        <f t="shared" si="52"/>
        <v>0.74187097563426019</v>
      </c>
      <c r="D288" s="116">
        <f t="shared" si="53"/>
        <v>0</v>
      </c>
      <c r="E288" s="116">
        <f t="shared" si="54"/>
        <v>0.25812902436573981</v>
      </c>
      <c r="F288" s="117">
        <f t="shared" si="55"/>
        <v>1.4837419512685204</v>
      </c>
    </row>
    <row r="289" spans="2:6" ht="15" x14ac:dyDescent="0.2">
      <c r="B289" s="115">
        <f t="shared" si="57"/>
        <v>0.64000000000000112</v>
      </c>
      <c r="C289" s="116">
        <f t="shared" si="52"/>
        <v>0.7321102186083267</v>
      </c>
      <c r="D289" s="116">
        <f t="shared" si="53"/>
        <v>0</v>
      </c>
      <c r="E289" s="116">
        <f t="shared" si="54"/>
        <v>0.2678897813916733</v>
      </c>
      <c r="F289" s="117">
        <f t="shared" si="55"/>
        <v>1.4642204372166534</v>
      </c>
    </row>
    <row r="290" spans="2:6" ht="15" x14ac:dyDescent="0.2">
      <c r="B290" s="115">
        <f t="shared" si="57"/>
        <v>0.65000000000000113</v>
      </c>
      <c r="C290" s="116">
        <f t="shared" si="52"/>
        <v>0.72206068321883432</v>
      </c>
      <c r="D290" s="116">
        <f t="shared" si="53"/>
        <v>0</v>
      </c>
      <c r="E290" s="116">
        <f t="shared" si="54"/>
        <v>0.27793931678116568</v>
      </c>
      <c r="F290" s="117">
        <f t="shared" si="55"/>
        <v>1.4441213664376686</v>
      </c>
    </row>
    <row r="291" spans="2:6" ht="15" x14ac:dyDescent="0.2">
      <c r="B291" s="115">
        <f t="shared" si="57"/>
        <v>0.66000000000000114</v>
      </c>
      <c r="C291" s="116">
        <f t="shared" si="52"/>
        <v>0.71171013669026995</v>
      </c>
      <c r="D291" s="116">
        <f t="shared" si="53"/>
        <v>0</v>
      </c>
      <c r="E291" s="116">
        <f t="shared" si="54"/>
        <v>0.28828986330973005</v>
      </c>
      <c r="F291" s="117">
        <f t="shared" si="55"/>
        <v>1.4234202733805399</v>
      </c>
    </row>
    <row r="292" spans="2:6" ht="15" x14ac:dyDescent="0.2">
      <c r="B292" s="115">
        <f t="shared" si="57"/>
        <v>0.67000000000000115</v>
      </c>
      <c r="C292" s="116">
        <f t="shared" si="52"/>
        <v>0.70104524635891419</v>
      </c>
      <c r="D292" s="116">
        <f t="shared" si="53"/>
        <v>0</v>
      </c>
      <c r="E292" s="116">
        <f t="shared" si="54"/>
        <v>0.29895475364108581</v>
      </c>
      <c r="F292" s="117">
        <f t="shared" si="55"/>
        <v>1.4020904927178284</v>
      </c>
    </row>
    <row r="293" spans="2:6" ht="15" x14ac:dyDescent="0.2">
      <c r="B293" s="115">
        <f t="shared" si="57"/>
        <v>0.68000000000000116</v>
      </c>
      <c r="C293" s="116">
        <f t="shared" si="52"/>
        <v>0.69005143762961141</v>
      </c>
      <c r="D293" s="116">
        <f t="shared" si="53"/>
        <v>0</v>
      </c>
      <c r="E293" s="116">
        <f t="shared" si="54"/>
        <v>0.30994856237038859</v>
      </c>
      <c r="F293" s="117">
        <f t="shared" si="55"/>
        <v>1.3801028752592228</v>
      </c>
    </row>
    <row r="294" spans="2:6" ht="15" x14ac:dyDescent="0.2">
      <c r="B294" s="115">
        <f t="shared" si="57"/>
        <v>0.69000000000000117</v>
      </c>
      <c r="C294" s="116">
        <f t="shared" si="52"/>
        <v>0.67871272720089126</v>
      </c>
      <c r="D294" s="116">
        <f t="shared" si="53"/>
        <v>0</v>
      </c>
      <c r="E294" s="116">
        <f t="shared" si="54"/>
        <v>0.32128727279910874</v>
      </c>
      <c r="F294" s="117">
        <f t="shared" si="55"/>
        <v>1.3574254544017825</v>
      </c>
    </row>
    <row r="295" spans="2:6" ht="15" x14ac:dyDescent="0.2">
      <c r="B295" s="115">
        <f t="shared" si="57"/>
        <v>0.70000000000000118</v>
      </c>
      <c r="C295" s="116">
        <f t="shared" si="52"/>
        <v>0.66701152607115</v>
      </c>
      <c r="D295" s="116">
        <f t="shared" si="53"/>
        <v>0</v>
      </c>
      <c r="E295" s="116">
        <f t="shared" si="54"/>
        <v>0.33298847392885</v>
      </c>
      <c r="F295" s="117">
        <f t="shared" si="55"/>
        <v>1.3340230521423</v>
      </c>
    </row>
    <row r="296" spans="2:6" ht="15" x14ac:dyDescent="0.2">
      <c r="B296" s="115">
        <f t="shared" si="57"/>
        <v>0.71000000000000119</v>
      </c>
      <c r="C296" s="116">
        <f t="shared" si="52"/>
        <v>0.65492840533647068</v>
      </c>
      <c r="D296" s="116">
        <f t="shared" si="53"/>
        <v>0</v>
      </c>
      <c r="E296" s="116">
        <f t="shared" si="54"/>
        <v>0.34507159466352932</v>
      </c>
      <c r="F296" s="117">
        <f t="shared" si="55"/>
        <v>1.3098568106729414</v>
      </c>
    </row>
    <row r="297" spans="2:6" ht="15" x14ac:dyDescent="0.2">
      <c r="B297" s="115">
        <f t="shared" si="57"/>
        <v>0.72000000000000119</v>
      </c>
      <c r="C297" s="116">
        <f t="shared" si="52"/>
        <v>0.64244181579260162</v>
      </c>
      <c r="D297" s="116">
        <f t="shared" si="53"/>
        <v>0</v>
      </c>
      <c r="E297" s="116">
        <f t="shared" si="54"/>
        <v>0.35755818420739838</v>
      </c>
      <c r="F297" s="117">
        <f t="shared" si="55"/>
        <v>1.2848836315852032</v>
      </c>
    </row>
    <row r="298" spans="2:6" ht="15" x14ac:dyDescent="0.2">
      <c r="B298" s="115">
        <f t="shared" si="57"/>
        <v>0.7300000000000012</v>
      </c>
      <c r="C298" s="116">
        <f t="shared" si="52"/>
        <v>0.62952774966536085</v>
      </c>
      <c r="D298" s="116">
        <f t="shared" si="53"/>
        <v>0</v>
      </c>
      <c r="E298" s="116">
        <f t="shared" si="54"/>
        <v>0.37047225033463915</v>
      </c>
      <c r="F298" s="117">
        <f t="shared" si="55"/>
        <v>1.2590554993307217</v>
      </c>
    </row>
    <row r="299" spans="2:6" ht="15" x14ac:dyDescent="0.2">
      <c r="B299" s="115">
        <f t="shared" si="57"/>
        <v>0.74000000000000121</v>
      </c>
      <c r="C299" s="116">
        <f t="shared" si="52"/>
        <v>0.61615932913174831</v>
      </c>
      <c r="D299" s="116">
        <f t="shared" si="53"/>
        <v>0</v>
      </c>
      <c r="E299" s="116">
        <f t="shared" si="54"/>
        <v>0.38384067086825169</v>
      </c>
      <c r="F299" s="117">
        <f t="shared" si="55"/>
        <v>1.2323186582634966</v>
      </c>
    </row>
    <row r="300" spans="2:6" ht="15" x14ac:dyDescent="0.2">
      <c r="B300" s="115">
        <f t="shared" si="57"/>
        <v>0.75000000000000122</v>
      </c>
      <c r="C300" s="116">
        <f t="shared" si="52"/>
        <v>0.60230630123796147</v>
      </c>
      <c r="D300" s="116">
        <f t="shared" si="53"/>
        <v>0</v>
      </c>
      <c r="E300" s="116">
        <f t="shared" si="54"/>
        <v>0.39769369876203853</v>
      </c>
      <c r="F300" s="117">
        <f t="shared" si="55"/>
        <v>1.2046126024759229</v>
      </c>
    </row>
    <row r="301" spans="2:6" ht="15" x14ac:dyDescent="0.2">
      <c r="B301" s="115">
        <f t="shared" si="57"/>
        <v>0.76000000000000123</v>
      </c>
      <c r="C301" s="116">
        <f t="shared" si="52"/>
        <v>0.58793441173598349</v>
      </c>
      <c r="D301" s="116">
        <f t="shared" si="53"/>
        <v>0</v>
      </c>
      <c r="E301" s="116">
        <f t="shared" si="54"/>
        <v>0.41206558826401651</v>
      </c>
      <c r="F301" s="117">
        <f t="shared" si="55"/>
        <v>1.175868823471967</v>
      </c>
    </row>
    <row r="302" spans="2:6" ht="15" x14ac:dyDescent="0.2">
      <c r="B302" s="115">
        <f t="shared" si="57"/>
        <v>0.77000000000000124</v>
      </c>
      <c r="C302" s="116">
        <f t="shared" si="52"/>
        <v>0.57300462027215371</v>
      </c>
      <c r="D302" s="116">
        <f t="shared" si="53"/>
        <v>0</v>
      </c>
      <c r="E302" s="116">
        <f t="shared" si="54"/>
        <v>0.42699537972784629</v>
      </c>
      <c r="F302" s="117">
        <f t="shared" si="55"/>
        <v>1.1460092405443074</v>
      </c>
    </row>
    <row r="303" spans="2:6" ht="15" x14ac:dyDescent="0.2">
      <c r="B303" s="115">
        <f t="shared" si="57"/>
        <v>0.78000000000000125</v>
      </c>
      <c r="C303" s="116">
        <f t="shared" si="52"/>
        <v>0.55747210473767017</v>
      </c>
      <c r="D303" s="116">
        <f t="shared" si="53"/>
        <v>0</v>
      </c>
      <c r="E303" s="116">
        <f t="shared" si="54"/>
        <v>0.44252789526232983</v>
      </c>
      <c r="F303" s="117">
        <f t="shared" si="55"/>
        <v>1.1149442094753403</v>
      </c>
    </row>
    <row r="304" spans="2:6" ht="15" x14ac:dyDescent="0.2">
      <c r="B304" s="115">
        <f t="shared" si="57"/>
        <v>0.79000000000000126</v>
      </c>
      <c r="C304" s="116">
        <f t="shared" si="52"/>
        <v>0.54128498097173905</v>
      </c>
      <c r="D304" s="116">
        <f t="shared" si="53"/>
        <v>0</v>
      </c>
      <c r="E304" s="116">
        <f t="shared" si="54"/>
        <v>0.45871501902826095</v>
      </c>
      <c r="F304" s="117">
        <f t="shared" si="55"/>
        <v>1.0825699619434781</v>
      </c>
    </row>
    <row r="305" spans="2:6" ht="15" x14ac:dyDescent="0.2">
      <c r="B305" s="115">
        <f t="shared" si="57"/>
        <v>0.80000000000000127</v>
      </c>
      <c r="C305" s="116">
        <f t="shared" si="52"/>
        <v>0.52438263133709806</v>
      </c>
      <c r="D305" s="116">
        <f t="shared" si="53"/>
        <v>0</v>
      </c>
      <c r="E305" s="116">
        <f t="shared" si="54"/>
        <v>0.47561736866290194</v>
      </c>
      <c r="F305" s="117">
        <f t="shared" si="55"/>
        <v>1.0487652626741961</v>
      </c>
    </row>
    <row r="306" spans="2:6" ht="15" x14ac:dyDescent="0.2">
      <c r="B306" s="115">
        <f t="shared" si="57"/>
        <v>0.81000000000000127</v>
      </c>
      <c r="C306" s="116">
        <f t="shared" si="52"/>
        <v>0.50669348508538858</v>
      </c>
      <c r="D306" s="116">
        <f t="shared" si="53"/>
        <v>0</v>
      </c>
      <c r="E306" s="116">
        <f t="shared" si="54"/>
        <v>0.49330651491461142</v>
      </c>
      <c r="F306" s="117">
        <f t="shared" si="55"/>
        <v>1.0133869701707772</v>
      </c>
    </row>
    <row r="307" spans="2:6" ht="15" x14ac:dyDescent="0.2">
      <c r="B307" s="115">
        <f t="shared" si="57"/>
        <v>0.82000000000000128</v>
      </c>
      <c r="C307" s="116">
        <f t="shared" si="52"/>
        <v>0.48813201284637114</v>
      </c>
      <c r="D307" s="116">
        <f t="shared" si="53"/>
        <v>0</v>
      </c>
      <c r="E307" s="116">
        <f t="shared" si="54"/>
        <v>0.51186798715362891</v>
      </c>
      <c r="F307" s="117">
        <f t="shared" si="55"/>
        <v>0.97626402569274229</v>
      </c>
    </row>
    <row r="308" spans="2:6" ht="15" x14ac:dyDescent="0.2">
      <c r="B308" s="115">
        <f t="shared" si="57"/>
        <v>0.83000000000000129</v>
      </c>
      <c r="C308" s="116">
        <f t="shared" si="52"/>
        <v>0.46859456512046516</v>
      </c>
      <c r="D308" s="116">
        <f t="shared" si="53"/>
        <v>0</v>
      </c>
      <c r="E308" s="116">
        <f t="shared" si="54"/>
        <v>0.53140543487953484</v>
      </c>
      <c r="F308" s="117">
        <f t="shared" si="55"/>
        <v>0.93718913024093031</v>
      </c>
    </row>
    <row r="309" spans="2:6" ht="15" x14ac:dyDescent="0.2">
      <c r="B309" s="115">
        <f t="shared" si="57"/>
        <v>0.8400000000000013</v>
      </c>
      <c r="C309" s="116">
        <f t="shared" si="52"/>
        <v>0.44795345886926785</v>
      </c>
      <c r="D309" s="116">
        <f t="shared" si="53"/>
        <v>0</v>
      </c>
      <c r="E309" s="116">
        <f t="shared" si="54"/>
        <v>0.55204654113073215</v>
      </c>
      <c r="F309" s="117">
        <f t="shared" si="55"/>
        <v>0.8959069177385357</v>
      </c>
    </row>
    <row r="310" spans="2:6" ht="15" x14ac:dyDescent="0.2">
      <c r="B310" s="115">
        <f t="shared" si="57"/>
        <v>0.85000000000000131</v>
      </c>
      <c r="C310" s="116">
        <f t="shared" si="52"/>
        <v>0.42604831477540067</v>
      </c>
      <c r="D310" s="116">
        <f t="shared" si="53"/>
        <v>0</v>
      </c>
      <c r="E310" s="116">
        <f t="shared" si="54"/>
        <v>0.57395168522459938</v>
      </c>
      <c r="F310" s="117">
        <f t="shared" si="55"/>
        <v>0.85209662955080134</v>
      </c>
    </row>
    <row r="311" spans="2:6" ht="15" x14ac:dyDescent="0.2">
      <c r="B311" s="115">
        <f t="shared" si="57"/>
        <v>0.86000000000000132</v>
      </c>
      <c r="C311" s="116">
        <f t="shared" si="52"/>
        <v>0.40267289713921889</v>
      </c>
      <c r="D311" s="116">
        <f t="shared" si="53"/>
        <v>0</v>
      </c>
      <c r="E311" s="116">
        <f t="shared" si="54"/>
        <v>0.59732710286078117</v>
      </c>
      <c r="F311" s="117">
        <f t="shared" si="55"/>
        <v>0.80534579427843778</v>
      </c>
    </row>
    <row r="312" spans="2:6" ht="15" x14ac:dyDescent="0.2">
      <c r="B312" s="115">
        <f t="shared" si="57"/>
        <v>0.87000000000000133</v>
      </c>
      <c r="C312" s="116">
        <f t="shared" si="52"/>
        <v>0.37755421864354782</v>
      </c>
      <c r="D312" s="116">
        <f t="shared" si="53"/>
        <v>0</v>
      </c>
      <c r="E312" s="116">
        <f t="shared" si="54"/>
        <v>0.62244578135645212</v>
      </c>
      <c r="F312" s="117">
        <f t="shared" si="55"/>
        <v>0.75510843728709565</v>
      </c>
    </row>
    <row r="313" spans="2:6" ht="15" x14ac:dyDescent="0.2">
      <c r="B313" s="115">
        <f t="shared" si="57"/>
        <v>0.88000000000000134</v>
      </c>
      <c r="C313" s="116">
        <f t="shared" si="52"/>
        <v>0.35031749071107343</v>
      </c>
      <c r="D313" s="116">
        <f t="shared" si="53"/>
        <v>0</v>
      </c>
      <c r="E313" s="116">
        <f t="shared" si="54"/>
        <v>0.64968250928892657</v>
      </c>
      <c r="F313" s="117">
        <f t="shared" si="55"/>
        <v>0.70063498142214686</v>
      </c>
    </row>
    <row r="314" spans="2:6" ht="15" x14ac:dyDescent="0.2">
      <c r="B314" s="115">
        <f t="shared" si="57"/>
        <v>0.89000000000000135</v>
      </c>
      <c r="C314" s="116">
        <f t="shared" si="52"/>
        <v>0.32042304994831605</v>
      </c>
      <c r="D314" s="116">
        <f t="shared" si="53"/>
        <v>0</v>
      </c>
      <c r="E314" s="116">
        <f t="shared" si="54"/>
        <v>0.67957695005168395</v>
      </c>
      <c r="F314" s="117">
        <f t="shared" si="55"/>
        <v>0.6408460998966321</v>
      </c>
    </row>
    <row r="315" spans="2:6" ht="15" x14ac:dyDescent="0.2">
      <c r="B315" s="115">
        <f t="shared" si="57"/>
        <v>0.90000000000000135</v>
      </c>
      <c r="C315" s="116">
        <f t="shared" si="52"/>
        <v>0.28704171811040657</v>
      </c>
      <c r="D315" s="116">
        <f t="shared" si="53"/>
        <v>0</v>
      </c>
      <c r="E315" s="116">
        <f t="shared" si="54"/>
        <v>0.71295828188959343</v>
      </c>
      <c r="F315" s="117">
        <f t="shared" si="55"/>
        <v>0.57408343622081315</v>
      </c>
    </row>
    <row r="316" spans="2:6" ht="15" x14ac:dyDescent="0.2">
      <c r="B316" s="115">
        <f t="shared" si="57"/>
        <v>0.91000000000000136</v>
      </c>
      <c r="C316" s="116">
        <f t="shared" si="52"/>
        <v>0.24877378336730355</v>
      </c>
      <c r="D316" s="116">
        <f t="shared" si="53"/>
        <v>0</v>
      </c>
      <c r="E316" s="116">
        <f t="shared" si="54"/>
        <v>0.7512262166326964</v>
      </c>
      <c r="F316" s="117">
        <f t="shared" si="55"/>
        <v>0.49754756673460709</v>
      </c>
    </row>
    <row r="317" spans="2:6" ht="15" x14ac:dyDescent="0.2">
      <c r="B317" s="115">
        <f t="shared" si="57"/>
        <v>0.92000000000000137</v>
      </c>
      <c r="C317" s="116">
        <f t="shared" ref="C317:C325" si="58">IFERROR(IF(SQRT(1-(B317*B317)/($F$121*$F$121))&lt;0.05,0,SQRT(1-(B317*B317)/($F$121*$F$121))),0)</f>
        <v>0.20287255359832498</v>
      </c>
      <c r="D317" s="116">
        <f t="shared" ref="D317:D325" si="59">CHOOSE(MATCH($F$119,degrees),IF(B317&lt;0,IFERROR(1-C317,1),0),0,0,IF(B317&gt;0,IFERROR(1-C317,1),0))</f>
        <v>0</v>
      </c>
      <c r="E317" s="116">
        <f t="shared" ref="E317:E325" si="60">CHOOSE(MATCH($F$119,degrees),IF(B317&lt;0,2*C317,2),IF(B317&lt;0,0,1-C317),IF(B317&gt;0,0,1-C317),IF(B317&gt;0,2*C317,2))</f>
        <v>0.79712744640167499</v>
      </c>
      <c r="F317" s="117">
        <f t="shared" ref="F317:F325" si="61">CHOOSE(MATCH($F$119,degrees),IF(B317&lt;0,C317+1,2),IF(B317&lt;0,2,2*C317),IF(B317&gt;0,2,2*C317),IF(B317&gt;0,C317+1,2))</f>
        <v>0.40574510719664997</v>
      </c>
    </row>
    <row r="318" spans="2:6" ht="15" x14ac:dyDescent="0.2">
      <c r="B318" s="115">
        <f t="shared" ref="B318:B325" si="62">B317+$C$120</f>
        <v>0.93000000000000138</v>
      </c>
      <c r="C318" s="116">
        <f t="shared" si="58"/>
        <v>0.14212523025009768</v>
      </c>
      <c r="D318" s="116">
        <f t="shared" si="59"/>
        <v>0</v>
      </c>
      <c r="E318" s="116">
        <f t="shared" si="60"/>
        <v>0.85787476974990229</v>
      </c>
      <c r="F318" s="117">
        <f t="shared" si="61"/>
        <v>0.28425046050019537</v>
      </c>
    </row>
    <row r="319" spans="2:6" ht="15" x14ac:dyDescent="0.2">
      <c r="B319" s="115">
        <f t="shared" si="62"/>
        <v>0.94000000000000139</v>
      </c>
      <c r="C319" s="116">
        <f t="shared" si="58"/>
        <v>0</v>
      </c>
      <c r="D319" s="116">
        <f t="shared" si="59"/>
        <v>0</v>
      </c>
      <c r="E319" s="116">
        <f t="shared" si="60"/>
        <v>1</v>
      </c>
      <c r="F319" s="117">
        <f t="shared" si="61"/>
        <v>0</v>
      </c>
    </row>
    <row r="320" spans="2:6" ht="15" x14ac:dyDescent="0.2">
      <c r="B320" s="115">
        <f t="shared" si="62"/>
        <v>0.9500000000000014</v>
      </c>
      <c r="C320" s="116">
        <f t="shared" si="58"/>
        <v>0</v>
      </c>
      <c r="D320" s="116">
        <f t="shared" si="59"/>
        <v>0</v>
      </c>
      <c r="E320" s="116">
        <f t="shared" si="60"/>
        <v>1</v>
      </c>
      <c r="F320" s="117">
        <f t="shared" si="61"/>
        <v>0</v>
      </c>
    </row>
    <row r="321" spans="2:6" ht="15" x14ac:dyDescent="0.2">
      <c r="B321" s="115">
        <f t="shared" si="62"/>
        <v>0.96000000000000141</v>
      </c>
      <c r="C321" s="116">
        <f t="shared" si="58"/>
        <v>0</v>
      </c>
      <c r="D321" s="116">
        <f t="shared" si="59"/>
        <v>0</v>
      </c>
      <c r="E321" s="116">
        <f t="shared" si="60"/>
        <v>1</v>
      </c>
      <c r="F321" s="117">
        <f t="shared" si="61"/>
        <v>0</v>
      </c>
    </row>
    <row r="322" spans="2:6" ht="15" x14ac:dyDescent="0.2">
      <c r="B322" s="115">
        <f t="shared" si="62"/>
        <v>0.97000000000000142</v>
      </c>
      <c r="C322" s="116">
        <f t="shared" si="58"/>
        <v>0</v>
      </c>
      <c r="D322" s="116">
        <f t="shared" si="59"/>
        <v>0</v>
      </c>
      <c r="E322" s="116">
        <f t="shared" si="60"/>
        <v>1</v>
      </c>
      <c r="F322" s="117">
        <f t="shared" si="61"/>
        <v>0</v>
      </c>
    </row>
    <row r="323" spans="2:6" ht="15" x14ac:dyDescent="0.2">
      <c r="B323" s="115">
        <f t="shared" si="62"/>
        <v>0.98000000000000143</v>
      </c>
      <c r="C323" s="116">
        <f t="shared" si="58"/>
        <v>0</v>
      </c>
      <c r="D323" s="116">
        <f t="shared" si="59"/>
        <v>0</v>
      </c>
      <c r="E323" s="116">
        <f t="shared" si="60"/>
        <v>1</v>
      </c>
      <c r="F323" s="117">
        <f t="shared" si="61"/>
        <v>0</v>
      </c>
    </row>
    <row r="324" spans="2:6" ht="15" x14ac:dyDescent="0.2">
      <c r="B324" s="115">
        <f t="shared" si="62"/>
        <v>0.99000000000000143</v>
      </c>
      <c r="C324" s="116">
        <f t="shared" si="58"/>
        <v>0</v>
      </c>
      <c r="D324" s="116">
        <f t="shared" si="59"/>
        <v>0</v>
      </c>
      <c r="E324" s="116">
        <f t="shared" si="60"/>
        <v>1</v>
      </c>
      <c r="F324" s="117">
        <f t="shared" si="61"/>
        <v>0</v>
      </c>
    </row>
    <row r="325" spans="2:6" ht="15" x14ac:dyDescent="0.2">
      <c r="B325" s="112">
        <f t="shared" si="62"/>
        <v>1.0000000000000013</v>
      </c>
      <c r="C325" s="113">
        <f t="shared" si="58"/>
        <v>0</v>
      </c>
      <c r="D325" s="113">
        <f t="shared" si="59"/>
        <v>0</v>
      </c>
      <c r="E325" s="113">
        <f t="shared" si="60"/>
        <v>1</v>
      </c>
      <c r="F325" s="118">
        <f t="shared" si="61"/>
        <v>0</v>
      </c>
    </row>
  </sheetData>
  <sheetProtection sheet="1" objects="1" scenarios="1"/>
  <mergeCells count="15">
    <mergeCell ref="AP42:AQ42"/>
    <mergeCell ref="AR42:AS42"/>
    <mergeCell ref="AP70:AQ70"/>
    <mergeCell ref="X42:Y42"/>
    <mergeCell ref="AF42:AG42"/>
    <mergeCell ref="AH42:AI42"/>
    <mergeCell ref="B70:C70"/>
    <mergeCell ref="L70:M70"/>
    <mergeCell ref="V70:W70"/>
    <mergeCell ref="AF70:AG70"/>
    <mergeCell ref="B42:C42"/>
    <mergeCell ref="D42:E42"/>
    <mergeCell ref="L42:M42"/>
    <mergeCell ref="N42:O42"/>
    <mergeCell ref="V42:W4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0EFF70-47BC-3746-B66A-5DE2EBFFFD67}">
  <dimension ref="B2:O81"/>
  <sheetViews>
    <sheetView showGridLines="0" workbookViewId="0">
      <selection activeCell="O57" sqref="O57"/>
    </sheetView>
  </sheetViews>
  <sheetFormatPr baseColWidth="10" defaultRowHeight="12" x14ac:dyDescent="0.15"/>
  <cols>
    <col min="1" max="1" width="10.83203125" style="2"/>
    <col min="2" max="15" width="13.33203125" style="2" customWidth="1"/>
    <col min="16" max="16384" width="10.83203125" style="2"/>
  </cols>
  <sheetData>
    <row r="2" spans="2:15" ht="15" x14ac:dyDescent="0.2">
      <c r="B2" s="220" t="s">
        <v>140</v>
      </c>
      <c r="C2" s="221"/>
      <c r="D2" s="220" t="s">
        <v>141</v>
      </c>
      <c r="E2" s="221"/>
      <c r="F2" s="220" t="s">
        <v>78</v>
      </c>
      <c r="G2" s="221"/>
      <c r="H2" s="220" t="s">
        <v>83</v>
      </c>
      <c r="I2" s="221"/>
      <c r="J2" s="220" t="s">
        <v>81</v>
      </c>
      <c r="K2" s="221"/>
      <c r="L2" s="220" t="s">
        <v>95</v>
      </c>
      <c r="M2" s="221"/>
      <c r="N2" s="220" t="str">
        <f>F2</f>
        <v>New Moon</v>
      </c>
      <c r="O2" s="221"/>
    </row>
    <row r="3" spans="2:15" ht="15" x14ac:dyDescent="0.2">
      <c r="B3" s="101" t="s">
        <v>0</v>
      </c>
      <c r="C3" s="102">
        <f>YEAR('Moon Phases'!AA8)</f>
        <v>2024</v>
      </c>
      <c r="D3" s="101" t="s">
        <v>0</v>
      </c>
      <c r="E3" s="102">
        <f>YEAR('Moon Phases'!AA16)</f>
        <v>2024</v>
      </c>
      <c r="F3" s="101" t="s">
        <v>5</v>
      </c>
      <c r="G3" s="100">
        <f>Calculations!C108</f>
        <v>2460438.6410164083</v>
      </c>
      <c r="H3" s="101" t="s">
        <v>5</v>
      </c>
      <c r="I3" s="100">
        <f>Calculations!M108</f>
        <v>2460445.9925658708</v>
      </c>
      <c r="J3" s="101" t="s">
        <v>5</v>
      </c>
      <c r="K3" s="100">
        <f>Calculations!W108</f>
        <v>2460454.0793935047</v>
      </c>
      <c r="L3" s="101" t="s">
        <v>5</v>
      </c>
      <c r="M3" s="100">
        <f>Calculations!AG108</f>
        <v>2460461.2178603499</v>
      </c>
      <c r="N3" s="101" t="s">
        <v>5</v>
      </c>
      <c r="O3" s="100">
        <f>Calculations!AQ108</f>
        <v>2460468.0269574602</v>
      </c>
    </row>
    <row r="4" spans="2:15" ht="17" x14ac:dyDescent="0.25">
      <c r="B4" s="83"/>
      <c r="C4" s="98"/>
      <c r="D4" s="83"/>
      <c r="E4" s="98"/>
      <c r="F4" s="83" t="s">
        <v>138</v>
      </c>
      <c r="G4" s="99">
        <f>IF(G3-INT(G3)&gt;= 0.5,INT(G3+1),INT(G3))</f>
        <v>2460439</v>
      </c>
      <c r="H4" s="83" t="s">
        <v>138</v>
      </c>
      <c r="I4" s="99">
        <f>IF(I3-INT(I3)&gt;= 0.5,INT(I3+1),INT(I3))</f>
        <v>2460446</v>
      </c>
      <c r="J4" s="83" t="s">
        <v>138</v>
      </c>
      <c r="K4" s="99">
        <f>IF(K3-INT(K3)&gt;= 0.5,INT(K3+1),INT(K3))</f>
        <v>2460454</v>
      </c>
      <c r="L4" s="83" t="s">
        <v>138</v>
      </c>
      <c r="M4" s="99">
        <f>IF(M3-INT(M3)&gt;= 0.5,INT(M3+1),INT(M3))</f>
        <v>2460461</v>
      </c>
      <c r="N4" s="83" t="s">
        <v>138</v>
      </c>
      <c r="O4" s="99">
        <f>IF(O3-INT(O3)&gt;= 0.5,INT(O3+1),INT(O3))</f>
        <v>2460468</v>
      </c>
    </row>
    <row r="5" spans="2:15" ht="15" x14ac:dyDescent="0.2">
      <c r="B5" s="83" t="s">
        <v>1</v>
      </c>
      <c r="C5" s="98">
        <f>MONTH('Moon Phases'!AA8)</f>
        <v>5</v>
      </c>
      <c r="D5" s="83" t="s">
        <v>1</v>
      </c>
      <c r="E5" s="98">
        <f>MONTH('Moon Phases'!AA16)</f>
        <v>5</v>
      </c>
      <c r="F5" s="83" t="s">
        <v>0</v>
      </c>
      <c r="G5" s="97">
        <f>INT(G12/1461)-4716+INT((12+2-G6)/12)</f>
        <v>2024</v>
      </c>
      <c r="H5" s="83" t="s">
        <v>0</v>
      </c>
      <c r="I5" s="97">
        <f>INT(I12/1461)-4716+INT((12+2-I6)/12)</f>
        <v>2024</v>
      </c>
      <c r="J5" s="83" t="s">
        <v>0</v>
      </c>
      <c r="K5" s="97">
        <f>INT(K12/1461)-4716+INT((12+2-K6)/12)</f>
        <v>2024</v>
      </c>
      <c r="L5" s="83" t="s">
        <v>0</v>
      </c>
      <c r="M5" s="97">
        <f>INT(M12/1461)-4716+INT((12+2-M6)/12)</f>
        <v>2024</v>
      </c>
      <c r="N5" s="83" t="s">
        <v>0</v>
      </c>
      <c r="O5" s="97">
        <f>INT(O12/1461)-4716+INT((12+2-O6)/12)</f>
        <v>2024</v>
      </c>
    </row>
    <row r="6" spans="2:15" ht="15" x14ac:dyDescent="0.2">
      <c r="B6" s="83" t="s">
        <v>2</v>
      </c>
      <c r="C6" s="98">
        <f>DAY('Moon Phases'!AA8)</f>
        <v>1</v>
      </c>
      <c r="D6" s="83" t="s">
        <v>2</v>
      </c>
      <c r="E6" s="98">
        <f>DAY('Moon Phases'!AA16)</f>
        <v>6</v>
      </c>
      <c r="F6" s="83" t="s">
        <v>1</v>
      </c>
      <c r="G6" s="97">
        <f>MOD(INT((G14/G24)+G25),G26)+1</f>
        <v>5</v>
      </c>
      <c r="H6" s="83" t="s">
        <v>1</v>
      </c>
      <c r="I6" s="97">
        <f>MOD(INT((I14/I24)+I25),I26)+1</f>
        <v>5</v>
      </c>
      <c r="J6" s="83" t="s">
        <v>1</v>
      </c>
      <c r="K6" s="97">
        <f>MOD(INT((K14/K24)+K25),K26)+1</f>
        <v>5</v>
      </c>
      <c r="L6" s="83" t="s">
        <v>1</v>
      </c>
      <c r="M6" s="97">
        <f>MOD(INT((M14/M24)+M25),M26)+1</f>
        <v>5</v>
      </c>
      <c r="N6" s="83" t="s">
        <v>1</v>
      </c>
      <c r="O6" s="97">
        <f>MOD(INT((O14/O24)+O25),O26)+1</f>
        <v>6</v>
      </c>
    </row>
    <row r="7" spans="2:15" ht="15" x14ac:dyDescent="0.2">
      <c r="B7" s="83" t="s">
        <v>4</v>
      </c>
      <c r="C7" s="98">
        <v>12</v>
      </c>
      <c r="D7" s="83" t="s">
        <v>4</v>
      </c>
      <c r="E7" s="98">
        <v>12</v>
      </c>
      <c r="F7" s="83" t="s">
        <v>137</v>
      </c>
      <c r="G7" s="97">
        <f>INT(MOD(G14,G24)/G22)+1</f>
        <v>8</v>
      </c>
      <c r="H7" s="83" t="s">
        <v>137</v>
      </c>
      <c r="I7" s="97">
        <f>INT(MOD(I14,I24)/I22)+1</f>
        <v>15</v>
      </c>
      <c r="J7" s="83" t="s">
        <v>137</v>
      </c>
      <c r="K7" s="97">
        <f>INT(MOD(K14,K24)/K22)+1</f>
        <v>23</v>
      </c>
      <c r="L7" s="83" t="s">
        <v>137</v>
      </c>
      <c r="M7" s="97">
        <f>INT(MOD(M14,M24)/M22)+1</f>
        <v>30</v>
      </c>
      <c r="N7" s="83" t="s">
        <v>137</v>
      </c>
      <c r="O7" s="97">
        <f>INT(MOD(O14,O24)/O22)+1</f>
        <v>6</v>
      </c>
    </row>
    <row r="8" spans="2:15" ht="15" x14ac:dyDescent="0.2">
      <c r="B8" s="83" t="s">
        <v>136</v>
      </c>
      <c r="C8" s="98">
        <v>0</v>
      </c>
      <c r="D8" s="83" t="s">
        <v>136</v>
      </c>
      <c r="E8" s="98">
        <v>0</v>
      </c>
      <c r="F8" s="83" t="s">
        <v>4</v>
      </c>
      <c r="G8" s="97">
        <f>INT(G27*24)</f>
        <v>3</v>
      </c>
      <c r="H8" s="83" t="s">
        <v>4</v>
      </c>
      <c r="I8" s="97">
        <f>INT(I27*24)</f>
        <v>11</v>
      </c>
      <c r="J8" s="83" t="s">
        <v>4</v>
      </c>
      <c r="K8" s="97">
        <f>INT(K27*24)</f>
        <v>13</v>
      </c>
      <c r="L8" s="83" t="s">
        <v>4</v>
      </c>
      <c r="M8" s="97">
        <f>INT(M27*24)</f>
        <v>17</v>
      </c>
      <c r="N8" s="83" t="s">
        <v>4</v>
      </c>
      <c r="O8" s="97">
        <f>INT(O27*24)</f>
        <v>12</v>
      </c>
    </row>
    <row r="9" spans="2:15" ht="15" x14ac:dyDescent="0.2">
      <c r="B9" s="83" t="s">
        <v>135</v>
      </c>
      <c r="C9" s="98">
        <v>0</v>
      </c>
      <c r="D9" s="83" t="s">
        <v>135</v>
      </c>
      <c r="E9" s="98">
        <v>0</v>
      </c>
      <c r="F9" s="83" t="s">
        <v>136</v>
      </c>
      <c r="G9" s="97">
        <f>INT((ROUND(24*60*60*G27,0)-3600*G8)/60)</f>
        <v>23</v>
      </c>
      <c r="H9" s="83" t="s">
        <v>136</v>
      </c>
      <c r="I9" s="97">
        <f>INT((ROUND(24*60*60*I27,0)-3600*I8)/60)</f>
        <v>49</v>
      </c>
      <c r="J9" s="83" t="s">
        <v>136</v>
      </c>
      <c r="K9" s="97">
        <f>INT((ROUND(24*60*60*K27,0)-3600*K8)/60)</f>
        <v>54</v>
      </c>
      <c r="L9" s="83" t="s">
        <v>136</v>
      </c>
      <c r="M9" s="97">
        <f>INT((ROUND(24*60*60*M27,0)-3600*M8)/60)</f>
        <v>13</v>
      </c>
      <c r="N9" s="83" t="s">
        <v>136</v>
      </c>
      <c r="O9" s="97">
        <f>INT((ROUND(24*60*60*O27,0)-3600*O8)/60)</f>
        <v>38</v>
      </c>
    </row>
    <row r="10" spans="2:15" ht="15" x14ac:dyDescent="0.2">
      <c r="B10" s="26"/>
      <c r="C10" s="25"/>
      <c r="D10" s="26"/>
      <c r="E10" s="25"/>
      <c r="F10" s="83" t="s">
        <v>135</v>
      </c>
      <c r="G10" s="97">
        <f>INT(MOD(ROUND(G27*24*60*60,0),60))</f>
        <v>4</v>
      </c>
      <c r="H10" s="83" t="s">
        <v>135</v>
      </c>
      <c r="I10" s="97">
        <f>INT(MOD(ROUND(I27*24*60*60,0),60))</f>
        <v>18</v>
      </c>
      <c r="J10" s="83" t="s">
        <v>135</v>
      </c>
      <c r="K10" s="97">
        <f>INT(MOD(ROUND(K27*24*60*60,0),60))</f>
        <v>20</v>
      </c>
      <c r="L10" s="83" t="s">
        <v>135</v>
      </c>
      <c r="M10" s="97">
        <f>INT(MOD(ROUND(M27*24*60*60,0),60))</f>
        <v>43</v>
      </c>
      <c r="N10" s="83" t="s">
        <v>135</v>
      </c>
      <c r="O10" s="97">
        <f>INT(MOD(ROUND(O27*24*60*60,0),60))</f>
        <v>49</v>
      </c>
    </row>
    <row r="11" spans="2:15" ht="14" x14ac:dyDescent="0.2">
      <c r="B11" s="81" t="s">
        <v>13</v>
      </c>
      <c r="C11" s="96">
        <f>(3600*C7+60*C8+C9)/(24*60*60)</f>
        <v>0.5</v>
      </c>
      <c r="D11" s="81" t="s">
        <v>13</v>
      </c>
      <c r="E11" s="96">
        <f>(3600*E7+60*E8+E9)/(24*60*60)</f>
        <v>0.5</v>
      </c>
      <c r="F11" s="81" t="s">
        <v>44</v>
      </c>
      <c r="G11" s="94">
        <f>INT(G4+G16+(INT(INT((4*G4+G17)/146097)*3)/4)+G18)</f>
        <v>2461853</v>
      </c>
      <c r="H11" s="81" t="s">
        <v>44</v>
      </c>
      <c r="I11" s="94">
        <f>INT(I4+I16+(INT(INT((4*I4+I17)/146097)*3)/4)+I18)</f>
        <v>2461860</v>
      </c>
      <c r="J11" s="81" t="s">
        <v>44</v>
      </c>
      <c r="K11" s="94">
        <f>INT(K4+K16+(INT(INT((4*K4+K17)/146097)*3)/4)+K18)</f>
        <v>2461868</v>
      </c>
      <c r="L11" s="81" t="s">
        <v>44</v>
      </c>
      <c r="M11" s="94">
        <f>INT(M4+M16+(INT(INT((4*M4+M17)/146097)*3)/4)+M18)</f>
        <v>2461875</v>
      </c>
      <c r="N11" s="81" t="s">
        <v>44</v>
      </c>
      <c r="O11" s="94">
        <f>INT(O4+O16+(INT(INT((4*O4+O17)/146097)*3)/4)+O18)</f>
        <v>2461882</v>
      </c>
    </row>
    <row r="12" spans="2:15" ht="14" x14ac:dyDescent="0.2">
      <c r="B12" s="81"/>
      <c r="C12" s="96"/>
      <c r="D12" s="81"/>
      <c r="E12" s="96"/>
      <c r="F12" s="81" t="s">
        <v>43</v>
      </c>
      <c r="G12" s="94">
        <f>G19*G11+G20</f>
        <v>9847415</v>
      </c>
      <c r="H12" s="81" t="s">
        <v>43</v>
      </c>
      <c r="I12" s="94">
        <f>I19*I11+I20</f>
        <v>9847443</v>
      </c>
      <c r="J12" s="81" t="s">
        <v>43</v>
      </c>
      <c r="K12" s="94">
        <f>K19*K11+K20</f>
        <v>9847475</v>
      </c>
      <c r="L12" s="81" t="s">
        <v>43</v>
      </c>
      <c r="M12" s="94">
        <f>M19*M11+M20</f>
        <v>9847503</v>
      </c>
      <c r="N12" s="81" t="s">
        <v>43</v>
      </c>
      <c r="O12" s="94">
        <f>O19*O11+O20</f>
        <v>9847531</v>
      </c>
    </row>
    <row r="13" spans="2:15" ht="14" x14ac:dyDescent="0.2">
      <c r="B13" s="81" t="s">
        <v>56</v>
      </c>
      <c r="C13" s="96">
        <f>IF(C5&gt;2,C3,C3-1)</f>
        <v>2024</v>
      </c>
      <c r="D13" s="81" t="s">
        <v>56</v>
      </c>
      <c r="E13" s="96">
        <f>IF(E5&gt;2,E3,E3-1)</f>
        <v>2024</v>
      </c>
      <c r="F13" s="81" t="s">
        <v>65</v>
      </c>
      <c r="G13" s="94">
        <f>INT(MOD(G12,G21)/G19)</f>
        <v>68</v>
      </c>
      <c r="H13" s="81" t="s">
        <v>65</v>
      </c>
      <c r="I13" s="94">
        <f>INT(MOD(I12,I21)/I19)</f>
        <v>75</v>
      </c>
      <c r="J13" s="81" t="s">
        <v>65</v>
      </c>
      <c r="K13" s="94">
        <f>INT(MOD(K12,K21)/K19)</f>
        <v>83</v>
      </c>
      <c r="L13" s="81" t="s">
        <v>65</v>
      </c>
      <c r="M13" s="94">
        <f>INT(MOD(M12,M21)/M19)</f>
        <v>90</v>
      </c>
      <c r="N13" s="81" t="s">
        <v>65</v>
      </c>
      <c r="O13" s="94">
        <f>INT(MOD(O12,O21)/O19)</f>
        <v>97</v>
      </c>
    </row>
    <row r="14" spans="2:15" ht="14" x14ac:dyDescent="0.2">
      <c r="B14" s="81" t="s">
        <v>57</v>
      </c>
      <c r="C14" s="96">
        <f>IF(C5&gt;2,C5,C5+12)</f>
        <v>5</v>
      </c>
      <c r="D14" s="81" t="s">
        <v>57</v>
      </c>
      <c r="E14" s="96">
        <f>IF(E5&gt;2,E5,E5+12)</f>
        <v>5</v>
      </c>
      <c r="F14" s="81" t="s">
        <v>134</v>
      </c>
      <c r="G14" s="94">
        <f>G22*G13+G23</f>
        <v>342</v>
      </c>
      <c r="H14" s="81" t="s">
        <v>134</v>
      </c>
      <c r="I14" s="94">
        <f>I22*I13+I23</f>
        <v>377</v>
      </c>
      <c r="J14" s="81" t="s">
        <v>134</v>
      </c>
      <c r="K14" s="94">
        <f>K22*K13+K23</f>
        <v>417</v>
      </c>
      <c r="L14" s="81" t="s">
        <v>134</v>
      </c>
      <c r="M14" s="94">
        <f>M22*M13+M23</f>
        <v>452</v>
      </c>
      <c r="N14" s="81" t="s">
        <v>134</v>
      </c>
      <c r="O14" s="94">
        <f>O22*O13+O23</f>
        <v>487</v>
      </c>
    </row>
    <row r="15" spans="2:15" ht="14" x14ac:dyDescent="0.2">
      <c r="B15" s="81" t="s">
        <v>50</v>
      </c>
      <c r="C15" s="96">
        <f>INT(C13/100)</f>
        <v>20</v>
      </c>
      <c r="D15" s="81" t="s">
        <v>50</v>
      </c>
      <c r="E15" s="96">
        <f>INT(E13/100)</f>
        <v>20</v>
      </c>
      <c r="F15" s="81"/>
      <c r="G15" s="94"/>
      <c r="H15" s="81"/>
      <c r="I15" s="94"/>
      <c r="J15" s="81"/>
      <c r="K15" s="94"/>
      <c r="L15" s="81"/>
      <c r="M15" s="94"/>
      <c r="N15" s="81"/>
      <c r="O15" s="94"/>
    </row>
    <row r="16" spans="2:15" ht="14" x14ac:dyDescent="0.2">
      <c r="B16" s="81" t="s">
        <v>52</v>
      </c>
      <c r="C16" s="96">
        <f>INT(C15/4)</f>
        <v>5</v>
      </c>
      <c r="D16" s="81" t="s">
        <v>52</v>
      </c>
      <c r="E16" s="96">
        <f>INT(E15/4)</f>
        <v>5</v>
      </c>
      <c r="F16" s="81" t="s">
        <v>59</v>
      </c>
      <c r="G16" s="94">
        <v>1401</v>
      </c>
      <c r="H16" s="81" t="s">
        <v>59</v>
      </c>
      <c r="I16" s="94">
        <v>1401</v>
      </c>
      <c r="J16" s="81" t="s">
        <v>59</v>
      </c>
      <c r="K16" s="94">
        <v>1401</v>
      </c>
      <c r="L16" s="81" t="s">
        <v>59</v>
      </c>
      <c r="M16" s="94">
        <v>1401</v>
      </c>
      <c r="N16" s="81" t="s">
        <v>59</v>
      </c>
      <c r="O16" s="94">
        <v>1401</v>
      </c>
    </row>
    <row r="17" spans="2:15" ht="14" x14ac:dyDescent="0.2">
      <c r="B17" s="81" t="s">
        <v>53</v>
      </c>
      <c r="C17" s="96">
        <f>2-C15+C16</f>
        <v>-13</v>
      </c>
      <c r="D17" s="81" t="s">
        <v>53</v>
      </c>
      <c r="E17" s="96">
        <f>2-E15+E16</f>
        <v>-13</v>
      </c>
      <c r="F17" s="81" t="s">
        <v>52</v>
      </c>
      <c r="G17" s="94">
        <v>274277</v>
      </c>
      <c r="H17" s="81" t="s">
        <v>52</v>
      </c>
      <c r="I17" s="94">
        <v>274277</v>
      </c>
      <c r="J17" s="81" t="s">
        <v>52</v>
      </c>
      <c r="K17" s="94">
        <v>274277</v>
      </c>
      <c r="L17" s="81" t="s">
        <v>52</v>
      </c>
      <c r="M17" s="94">
        <v>274277</v>
      </c>
      <c r="N17" s="81" t="s">
        <v>52</v>
      </c>
      <c r="O17" s="94">
        <v>274277</v>
      </c>
    </row>
    <row r="18" spans="2:15" ht="14" x14ac:dyDescent="0.2">
      <c r="B18" s="81" t="s">
        <v>58</v>
      </c>
      <c r="C18" s="96">
        <f>C6</f>
        <v>1</v>
      </c>
      <c r="D18" s="81" t="s">
        <v>58</v>
      </c>
      <c r="E18" s="96">
        <f>E6</f>
        <v>6</v>
      </c>
      <c r="F18" s="81" t="s">
        <v>53</v>
      </c>
      <c r="G18" s="94">
        <v>-38</v>
      </c>
      <c r="H18" s="81" t="s">
        <v>53</v>
      </c>
      <c r="I18" s="94">
        <v>-38</v>
      </c>
      <c r="J18" s="81" t="s">
        <v>53</v>
      </c>
      <c r="K18" s="94">
        <v>-38</v>
      </c>
      <c r="L18" s="81" t="s">
        <v>53</v>
      </c>
      <c r="M18" s="94">
        <v>-38</v>
      </c>
      <c r="N18" s="81" t="s">
        <v>53</v>
      </c>
      <c r="O18" s="94">
        <v>-38</v>
      </c>
    </row>
    <row r="19" spans="2:15" ht="14" x14ac:dyDescent="0.2">
      <c r="B19" s="81" t="s">
        <v>54</v>
      </c>
      <c r="C19" s="96">
        <f>INT(365.25*(C13+4716))</f>
        <v>2461785</v>
      </c>
      <c r="D19" s="81" t="s">
        <v>54</v>
      </c>
      <c r="E19" s="96">
        <f>INT(365.25*(E13+4716))</f>
        <v>2461785</v>
      </c>
      <c r="F19" s="81" t="s">
        <v>11</v>
      </c>
      <c r="G19" s="93">
        <v>4</v>
      </c>
      <c r="H19" s="81" t="s">
        <v>11</v>
      </c>
      <c r="I19" s="93">
        <v>4</v>
      </c>
      <c r="J19" s="81" t="s">
        <v>11</v>
      </c>
      <c r="K19" s="93">
        <v>4</v>
      </c>
      <c r="L19" s="81" t="s">
        <v>11</v>
      </c>
      <c r="M19" s="93">
        <v>4</v>
      </c>
      <c r="N19" s="81" t="s">
        <v>11</v>
      </c>
      <c r="O19" s="93">
        <v>4</v>
      </c>
    </row>
    <row r="20" spans="2:15" ht="14" x14ac:dyDescent="0.2">
      <c r="B20" s="81" t="s">
        <v>55</v>
      </c>
      <c r="C20" s="96">
        <f>INT(30.6001*(C14+1))</f>
        <v>183</v>
      </c>
      <c r="D20" s="81" t="s">
        <v>55</v>
      </c>
      <c r="E20" s="96">
        <f>INT(30.6001*(E14+1))</f>
        <v>183</v>
      </c>
      <c r="F20" s="81" t="s">
        <v>60</v>
      </c>
      <c r="G20" s="94">
        <v>3</v>
      </c>
      <c r="H20" s="81" t="s">
        <v>60</v>
      </c>
      <c r="I20" s="94">
        <v>3</v>
      </c>
      <c r="J20" s="81" t="s">
        <v>60</v>
      </c>
      <c r="K20" s="94">
        <v>3</v>
      </c>
      <c r="L20" s="81" t="s">
        <v>60</v>
      </c>
      <c r="M20" s="94">
        <v>3</v>
      </c>
      <c r="N20" s="81" t="s">
        <v>60</v>
      </c>
      <c r="O20" s="94">
        <v>3</v>
      </c>
    </row>
    <row r="21" spans="2:15" ht="15" x14ac:dyDescent="0.2">
      <c r="B21" s="83" t="s">
        <v>5</v>
      </c>
      <c r="C21" s="95">
        <f>C17+C18+C19+C20-1524.5+C11</f>
        <v>2460432</v>
      </c>
      <c r="D21" s="83" t="s">
        <v>5</v>
      </c>
      <c r="E21" s="95">
        <f>E17+E18+E19+E20-1524.5+E11</f>
        <v>2460437</v>
      </c>
      <c r="F21" s="81" t="s">
        <v>61</v>
      </c>
      <c r="G21" s="93">
        <v>1461</v>
      </c>
      <c r="H21" s="81" t="s">
        <v>61</v>
      </c>
      <c r="I21" s="93">
        <v>1461</v>
      </c>
      <c r="J21" s="81" t="s">
        <v>61</v>
      </c>
      <c r="K21" s="93">
        <v>1461</v>
      </c>
      <c r="L21" s="81" t="s">
        <v>61</v>
      </c>
      <c r="M21" s="93">
        <v>1461</v>
      </c>
      <c r="N21" s="81" t="s">
        <v>61</v>
      </c>
      <c r="O21" s="93">
        <v>1461</v>
      </c>
    </row>
    <row r="22" spans="2:15" ht="14" x14ac:dyDescent="0.2">
      <c r="B22" s="26"/>
      <c r="C22" s="25"/>
      <c r="D22" s="26"/>
      <c r="E22" s="25"/>
      <c r="F22" s="81" t="s">
        <v>45</v>
      </c>
      <c r="G22" s="94">
        <v>5</v>
      </c>
      <c r="H22" s="81" t="s">
        <v>45</v>
      </c>
      <c r="I22" s="94">
        <v>5</v>
      </c>
      <c r="J22" s="81" t="s">
        <v>45</v>
      </c>
      <c r="K22" s="94">
        <v>5</v>
      </c>
      <c r="L22" s="81" t="s">
        <v>45</v>
      </c>
      <c r="M22" s="94">
        <v>5</v>
      </c>
      <c r="N22" s="81" t="s">
        <v>45</v>
      </c>
      <c r="O22" s="94">
        <v>5</v>
      </c>
    </row>
    <row r="23" spans="2:15" ht="14" x14ac:dyDescent="0.2">
      <c r="B23" s="26"/>
      <c r="C23" s="25"/>
      <c r="D23" s="26"/>
      <c r="E23" s="25"/>
      <c r="F23" s="81" t="s">
        <v>62</v>
      </c>
      <c r="G23" s="94">
        <v>2</v>
      </c>
      <c r="H23" s="81" t="s">
        <v>62</v>
      </c>
      <c r="I23" s="94">
        <v>2</v>
      </c>
      <c r="J23" s="81" t="s">
        <v>62</v>
      </c>
      <c r="K23" s="94">
        <v>2</v>
      </c>
      <c r="L23" s="81" t="s">
        <v>62</v>
      </c>
      <c r="M23" s="94">
        <v>2</v>
      </c>
      <c r="N23" s="81" t="s">
        <v>62</v>
      </c>
      <c r="O23" s="94">
        <v>2</v>
      </c>
    </row>
    <row r="24" spans="2:15" ht="14" x14ac:dyDescent="0.2">
      <c r="B24" s="26"/>
      <c r="C24" s="25"/>
      <c r="D24" s="26"/>
      <c r="E24" s="25"/>
      <c r="F24" s="81" t="s">
        <v>133</v>
      </c>
      <c r="G24" s="93">
        <v>153</v>
      </c>
      <c r="H24" s="81" t="s">
        <v>133</v>
      </c>
      <c r="I24" s="93">
        <v>153</v>
      </c>
      <c r="J24" s="81" t="s">
        <v>133</v>
      </c>
      <c r="K24" s="93">
        <v>153</v>
      </c>
      <c r="L24" s="81" t="s">
        <v>133</v>
      </c>
      <c r="M24" s="93">
        <v>153</v>
      </c>
      <c r="N24" s="81" t="s">
        <v>133</v>
      </c>
      <c r="O24" s="93">
        <v>153</v>
      </c>
    </row>
    <row r="25" spans="2:15" ht="14" x14ac:dyDescent="0.2">
      <c r="B25" s="26"/>
      <c r="C25" s="25"/>
      <c r="D25" s="26"/>
      <c r="E25" s="25"/>
      <c r="F25" s="81" t="s">
        <v>63</v>
      </c>
      <c r="G25" s="93">
        <v>2</v>
      </c>
      <c r="H25" s="81" t="s">
        <v>63</v>
      </c>
      <c r="I25" s="93">
        <v>2</v>
      </c>
      <c r="J25" s="81" t="s">
        <v>63</v>
      </c>
      <c r="K25" s="93">
        <v>2</v>
      </c>
      <c r="L25" s="81" t="s">
        <v>63</v>
      </c>
      <c r="M25" s="93">
        <v>2</v>
      </c>
      <c r="N25" s="81" t="s">
        <v>63</v>
      </c>
      <c r="O25" s="93">
        <v>2</v>
      </c>
    </row>
    <row r="26" spans="2:15" ht="14" x14ac:dyDescent="0.2">
      <c r="B26" s="26"/>
      <c r="C26" s="25"/>
      <c r="D26" s="26"/>
      <c r="E26" s="25"/>
      <c r="F26" s="81" t="s">
        <v>64</v>
      </c>
      <c r="G26" s="93">
        <v>12</v>
      </c>
      <c r="H26" s="81" t="s">
        <v>64</v>
      </c>
      <c r="I26" s="93">
        <v>12</v>
      </c>
      <c r="J26" s="81" t="s">
        <v>64</v>
      </c>
      <c r="K26" s="93">
        <v>12</v>
      </c>
      <c r="L26" s="81" t="s">
        <v>64</v>
      </c>
      <c r="M26" s="93">
        <v>12</v>
      </c>
      <c r="N26" s="81" t="s">
        <v>64</v>
      </c>
      <c r="O26" s="93">
        <v>12</v>
      </c>
    </row>
    <row r="27" spans="2:15" ht="14" x14ac:dyDescent="0.2">
      <c r="B27" s="23"/>
      <c r="C27" s="22"/>
      <c r="D27" s="23"/>
      <c r="E27" s="22"/>
      <c r="F27" s="92" t="s">
        <v>13</v>
      </c>
      <c r="G27" s="91">
        <f>MOD(G3-INT(G3)+0.5,1)</f>
        <v>0.14101640833541751</v>
      </c>
      <c r="H27" s="92" t="s">
        <v>13</v>
      </c>
      <c r="I27" s="91">
        <f>MOD(I3-INT(I3)+0.5,1)</f>
        <v>0.49256587075069547</v>
      </c>
      <c r="J27" s="92" t="s">
        <v>13</v>
      </c>
      <c r="K27" s="91">
        <f>MOD(K3-INT(K3)+0.5,1)</f>
        <v>0.579393504653126</v>
      </c>
      <c r="L27" s="92" t="s">
        <v>13</v>
      </c>
      <c r="M27" s="91">
        <f>MOD(M3-INT(M3)+0.5,1)</f>
        <v>0.71786034991964698</v>
      </c>
      <c r="N27" s="92" t="s">
        <v>13</v>
      </c>
      <c r="O27" s="91">
        <f>MOD(O3-INT(O3)+0.5,1)</f>
        <v>0.52695746021345258</v>
      </c>
    </row>
    <row r="28" spans="2:15" ht="15" x14ac:dyDescent="0.2">
      <c r="F28" s="218" t="s">
        <v>78</v>
      </c>
      <c r="G28" s="219"/>
      <c r="H28" s="218" t="str">
        <f>H2</f>
        <v>First Quarter</v>
      </c>
      <c r="I28" s="219"/>
      <c r="J28" s="218" t="str">
        <f>J2</f>
        <v>Full Moon</v>
      </c>
      <c r="K28" s="219"/>
      <c r="L28" s="218" t="str">
        <f>L2</f>
        <v>Last Quarter</v>
      </c>
      <c r="M28" s="219"/>
      <c r="N28" s="218" t="str">
        <f>N2</f>
        <v>New Moon</v>
      </c>
      <c r="O28" s="219"/>
    </row>
    <row r="29" spans="2:15" ht="16" x14ac:dyDescent="0.2">
      <c r="B29" s="90" t="s">
        <v>132</v>
      </c>
      <c r="C29" s="89"/>
      <c r="D29" s="90" t="s">
        <v>132</v>
      </c>
      <c r="E29" s="89"/>
      <c r="F29" s="33"/>
      <c r="G29" s="28"/>
      <c r="H29" s="33"/>
      <c r="I29" s="28"/>
      <c r="J29" s="33"/>
      <c r="K29" s="28"/>
      <c r="L29" s="33"/>
      <c r="M29" s="28"/>
      <c r="N29" s="33"/>
      <c r="O29" s="28"/>
    </row>
    <row r="30" spans="2:15" ht="16" x14ac:dyDescent="0.2">
      <c r="B30" s="88"/>
      <c r="C30" s="78"/>
      <c r="D30" s="88"/>
      <c r="E30" s="78"/>
      <c r="F30" s="26"/>
      <c r="G30" s="27"/>
      <c r="H30" s="26"/>
      <c r="I30" s="27"/>
      <c r="J30" s="26"/>
      <c r="K30" s="27"/>
      <c r="L30" s="26"/>
      <c r="M30" s="27"/>
      <c r="N30" s="26"/>
      <c r="O30" s="27"/>
    </row>
    <row r="31" spans="2:15" ht="14" x14ac:dyDescent="0.2">
      <c r="B31" s="87" t="s">
        <v>6</v>
      </c>
      <c r="C31" s="86" t="s">
        <v>7</v>
      </c>
      <c r="D31" s="87" t="s">
        <v>6</v>
      </c>
      <c r="E31" s="86" t="s">
        <v>7</v>
      </c>
      <c r="F31" s="26"/>
      <c r="G31" s="27"/>
      <c r="H31" s="26"/>
      <c r="I31" s="27"/>
      <c r="J31" s="26"/>
      <c r="K31" s="27"/>
      <c r="L31" s="26"/>
      <c r="M31" s="27"/>
      <c r="N31" s="26"/>
      <c r="O31" s="27"/>
    </row>
    <row r="32" spans="2:15" ht="14" x14ac:dyDescent="0.2">
      <c r="B32" s="79">
        <v>1</v>
      </c>
      <c r="C32" s="78">
        <v>0</v>
      </c>
      <c r="D32" s="79">
        <v>1</v>
      </c>
      <c r="E32" s="78">
        <v>0</v>
      </c>
      <c r="F32" s="81" t="s">
        <v>0</v>
      </c>
      <c r="G32" s="84">
        <f>G5</f>
        <v>2024</v>
      </c>
      <c r="H32" s="81" t="s">
        <v>0</v>
      </c>
      <c r="I32" s="84">
        <f>I5</f>
        <v>2024</v>
      </c>
      <c r="J32" s="81" t="s">
        <v>0</v>
      </c>
      <c r="K32" s="84">
        <f>K5</f>
        <v>2024</v>
      </c>
      <c r="L32" s="81" t="s">
        <v>0</v>
      </c>
      <c r="M32" s="84">
        <f>M5</f>
        <v>2024</v>
      </c>
      <c r="N32" s="81" t="s">
        <v>0</v>
      </c>
      <c r="O32" s="84">
        <f>O5</f>
        <v>2024</v>
      </c>
    </row>
    <row r="33" spans="2:15" ht="14" x14ac:dyDescent="0.2">
      <c r="B33" s="79">
        <f t="shared" ref="B33:B43" si="0">B32+1</f>
        <v>2</v>
      </c>
      <c r="C33" s="78">
        <v>31</v>
      </c>
      <c r="D33" s="79">
        <f t="shared" ref="D33:D43" si="1">D32+1</f>
        <v>2</v>
      </c>
      <c r="E33" s="78">
        <v>31</v>
      </c>
      <c r="F33" s="81" t="s">
        <v>82</v>
      </c>
      <c r="G33" s="85" t="str">
        <f>IF(MOD(G32,4)=0,IF(MOD(G32,400)&gt;0,"Y","N"),"N")</f>
        <v>Y</v>
      </c>
      <c r="H33" s="81" t="s">
        <v>82</v>
      </c>
      <c r="I33" s="85" t="str">
        <f>IF(MOD(I32,4)=0,IF(MOD(I32,400)&gt;0,"Y","N"),"N")</f>
        <v>Y</v>
      </c>
      <c r="J33" s="81" t="s">
        <v>82</v>
      </c>
      <c r="K33" s="85" t="str">
        <f>IF(MOD(K32,4)=0,IF(MOD(K32,400)&gt;0,"Y","N"),"N")</f>
        <v>Y</v>
      </c>
      <c r="L33" s="81" t="s">
        <v>82</v>
      </c>
      <c r="M33" s="85" t="str">
        <f>IF(MOD(M32,4)=0,IF(MOD(M32,400)&gt;0,"Y","N"),"N")</f>
        <v>Y</v>
      </c>
      <c r="N33" s="81" t="s">
        <v>82</v>
      </c>
      <c r="O33" s="85" t="str">
        <f>IF(MOD(O32,4)=0,IF(MOD(O32,400)&gt;0,"Y","N"),"N")</f>
        <v>Y</v>
      </c>
    </row>
    <row r="34" spans="2:15" ht="14" x14ac:dyDescent="0.2">
      <c r="B34" s="79">
        <f t="shared" si="0"/>
        <v>3</v>
      </c>
      <c r="C34" s="78">
        <f>59+IF(G33="Y",1,0)</f>
        <v>60</v>
      </c>
      <c r="D34" s="79">
        <f t="shared" si="1"/>
        <v>3</v>
      </c>
      <c r="E34" s="78">
        <f>59+IF(I33="Y",1,0)</f>
        <v>60</v>
      </c>
      <c r="F34" s="81" t="s">
        <v>1</v>
      </c>
      <c r="G34" s="84">
        <f>G6</f>
        <v>5</v>
      </c>
      <c r="H34" s="81" t="s">
        <v>1</v>
      </c>
      <c r="I34" s="84">
        <f>I6</f>
        <v>5</v>
      </c>
      <c r="J34" s="81" t="s">
        <v>1</v>
      </c>
      <c r="K34" s="84">
        <f>K6</f>
        <v>5</v>
      </c>
      <c r="L34" s="81" t="s">
        <v>1</v>
      </c>
      <c r="M34" s="84">
        <f>M6</f>
        <v>5</v>
      </c>
      <c r="N34" s="81" t="s">
        <v>1</v>
      </c>
      <c r="O34" s="84">
        <f>O6</f>
        <v>6</v>
      </c>
    </row>
    <row r="35" spans="2:15" ht="14" x14ac:dyDescent="0.2">
      <c r="B35" s="79">
        <f t="shared" si="0"/>
        <v>4</v>
      </c>
      <c r="C35" s="78">
        <f>90+IF(G33="Y",1,0)</f>
        <v>91</v>
      </c>
      <c r="D35" s="79">
        <f t="shared" si="1"/>
        <v>4</v>
      </c>
      <c r="E35" s="78">
        <f>90+IF(I33="Y",1,0)</f>
        <v>91</v>
      </c>
      <c r="F35" s="81" t="s">
        <v>2</v>
      </c>
      <c r="G35" s="84">
        <f>G7</f>
        <v>8</v>
      </c>
      <c r="H35" s="81" t="s">
        <v>2</v>
      </c>
      <c r="I35" s="84">
        <f>I7</f>
        <v>15</v>
      </c>
      <c r="J35" s="81" t="s">
        <v>2</v>
      </c>
      <c r="K35" s="84">
        <f>K7</f>
        <v>23</v>
      </c>
      <c r="L35" s="81" t="s">
        <v>2</v>
      </c>
      <c r="M35" s="84">
        <f>M7</f>
        <v>30</v>
      </c>
      <c r="N35" s="81" t="s">
        <v>2</v>
      </c>
      <c r="O35" s="84">
        <f>O7</f>
        <v>6</v>
      </c>
    </row>
    <row r="36" spans="2:15" ht="15" x14ac:dyDescent="0.2">
      <c r="B36" s="79">
        <f t="shared" si="0"/>
        <v>5</v>
      </c>
      <c r="C36" s="78">
        <f>120+IF(G33="Y",1,0)</f>
        <v>121</v>
      </c>
      <c r="D36" s="79">
        <f t="shared" si="1"/>
        <v>5</v>
      </c>
      <c r="E36" s="78">
        <f>120+IF(I33="Y",1,0)</f>
        <v>121</v>
      </c>
      <c r="F36" s="83" t="s">
        <v>80</v>
      </c>
      <c r="G36" s="82">
        <f>LOOKUP(G34,$B$32:$B$43,$C$32:$C$43)+G35</f>
        <v>129</v>
      </c>
      <c r="H36" s="83" t="s">
        <v>80</v>
      </c>
      <c r="I36" s="82">
        <f>LOOKUP(I34,$B$32:$B$43,$C$32:$C$43)+I35</f>
        <v>136</v>
      </c>
      <c r="J36" s="83" t="s">
        <v>80</v>
      </c>
      <c r="K36" s="82">
        <f>LOOKUP(K34,$B$32:$B$43,$C$32:$C$43)+K35</f>
        <v>144</v>
      </c>
      <c r="L36" s="83" t="s">
        <v>80</v>
      </c>
      <c r="M36" s="82">
        <f>LOOKUP(M34,$B$32:$B$43,$C$32:$C$43)+M35</f>
        <v>151</v>
      </c>
      <c r="N36" s="83" t="s">
        <v>80</v>
      </c>
      <c r="O36" s="82">
        <f>LOOKUP(O34,$B$32:$B$43,$C$32:$C$43)+O35</f>
        <v>158</v>
      </c>
    </row>
    <row r="37" spans="2:15" ht="14" x14ac:dyDescent="0.2">
      <c r="B37" s="79">
        <f t="shared" si="0"/>
        <v>6</v>
      </c>
      <c r="C37" s="78">
        <f>151+IF(G33="Y",1,0)</f>
        <v>152</v>
      </c>
      <c r="D37" s="79">
        <f t="shared" si="1"/>
        <v>6</v>
      </c>
      <c r="E37" s="78">
        <f>151+IF(I33="Y",1,0)</f>
        <v>152</v>
      </c>
      <c r="F37" s="81" t="s">
        <v>51</v>
      </c>
      <c r="G37" s="80">
        <f>$C43+31</f>
        <v>366</v>
      </c>
      <c r="H37" s="81" t="s">
        <v>51</v>
      </c>
      <c r="I37" s="80">
        <f>$C43+31</f>
        <v>366</v>
      </c>
      <c r="J37" s="81" t="s">
        <v>51</v>
      </c>
      <c r="K37" s="80">
        <f>$C43+31</f>
        <v>366</v>
      </c>
      <c r="L37" s="81" t="s">
        <v>51</v>
      </c>
      <c r="M37" s="80">
        <f>$C43+31</f>
        <v>366</v>
      </c>
      <c r="N37" s="81" t="s">
        <v>51</v>
      </c>
      <c r="O37" s="80">
        <f>$C43+31</f>
        <v>366</v>
      </c>
    </row>
    <row r="38" spans="2:15" ht="14" x14ac:dyDescent="0.2">
      <c r="B38" s="79">
        <f t="shared" si="0"/>
        <v>7</v>
      </c>
      <c r="C38" s="78">
        <f>181+IF(G33="Y",1,0)</f>
        <v>182</v>
      </c>
      <c r="D38" s="79">
        <f t="shared" si="1"/>
        <v>7</v>
      </c>
      <c r="E38" s="78">
        <f>181+IF(I33="Y",1,0)</f>
        <v>182</v>
      </c>
      <c r="F38" s="26"/>
      <c r="G38" s="27"/>
      <c r="H38" s="26"/>
      <c r="I38" s="27"/>
      <c r="J38" s="26"/>
      <c r="K38" s="27"/>
      <c r="L38" s="26"/>
      <c r="M38" s="27"/>
      <c r="N38" s="26"/>
      <c r="O38" s="27"/>
    </row>
    <row r="39" spans="2:15" ht="14" x14ac:dyDescent="0.2">
      <c r="B39" s="79">
        <f t="shared" si="0"/>
        <v>8</v>
      </c>
      <c r="C39" s="78">
        <f>212+IF(G33="Y",1,0)</f>
        <v>213</v>
      </c>
      <c r="D39" s="79">
        <f t="shared" si="1"/>
        <v>8</v>
      </c>
      <c r="E39" s="78">
        <f>212+IF(I33="Y",1,0)</f>
        <v>213</v>
      </c>
      <c r="F39" s="26"/>
      <c r="G39" s="27"/>
      <c r="H39" s="26"/>
      <c r="I39" s="27"/>
      <c r="J39" s="26"/>
      <c r="K39" s="27"/>
      <c r="L39" s="26"/>
      <c r="M39" s="27"/>
      <c r="N39" s="26"/>
      <c r="O39" s="27"/>
    </row>
    <row r="40" spans="2:15" ht="14" x14ac:dyDescent="0.2">
      <c r="B40" s="79">
        <f t="shared" si="0"/>
        <v>9</v>
      </c>
      <c r="C40" s="78">
        <f>243+IF(G33="Y",1,0)</f>
        <v>244</v>
      </c>
      <c r="D40" s="79">
        <f t="shared" si="1"/>
        <v>9</v>
      </c>
      <c r="E40" s="78">
        <f>243+IF(I33="Y",1,0)</f>
        <v>244</v>
      </c>
      <c r="F40" s="26"/>
      <c r="G40" s="27"/>
      <c r="H40" s="26"/>
      <c r="I40" s="27"/>
      <c r="J40" s="26"/>
      <c r="K40" s="27"/>
      <c r="L40" s="26"/>
      <c r="M40" s="27"/>
      <c r="N40" s="26"/>
      <c r="O40" s="27"/>
    </row>
    <row r="41" spans="2:15" ht="14" x14ac:dyDescent="0.2">
      <c r="B41" s="79">
        <f t="shared" si="0"/>
        <v>10</v>
      </c>
      <c r="C41" s="78">
        <f>273+IF(G33="Y",1,0)</f>
        <v>274</v>
      </c>
      <c r="D41" s="79">
        <f t="shared" si="1"/>
        <v>10</v>
      </c>
      <c r="E41" s="78">
        <f>273+IF(I33="Y",1,0)</f>
        <v>274</v>
      </c>
      <c r="F41" s="26"/>
      <c r="G41" s="27"/>
      <c r="H41" s="26"/>
      <c r="I41" s="27"/>
      <c r="J41" s="26"/>
      <c r="K41" s="27"/>
      <c r="L41" s="26"/>
      <c r="M41" s="27"/>
      <c r="N41" s="26"/>
      <c r="O41" s="27"/>
    </row>
    <row r="42" spans="2:15" ht="14" x14ac:dyDescent="0.2">
      <c r="B42" s="79">
        <f t="shared" si="0"/>
        <v>11</v>
      </c>
      <c r="C42" s="78">
        <f>304+IF(G33="Y",1,0)</f>
        <v>305</v>
      </c>
      <c r="D42" s="79">
        <f t="shared" si="1"/>
        <v>11</v>
      </c>
      <c r="E42" s="78">
        <f>304+IF(I33="Y",1,0)</f>
        <v>305</v>
      </c>
      <c r="F42" s="26"/>
      <c r="G42" s="27"/>
      <c r="H42" s="26"/>
      <c r="I42" s="27"/>
      <c r="J42" s="26"/>
      <c r="K42" s="27"/>
      <c r="L42" s="26"/>
      <c r="M42" s="27"/>
      <c r="N42" s="26"/>
      <c r="O42" s="27"/>
    </row>
    <row r="43" spans="2:15" ht="14" x14ac:dyDescent="0.2">
      <c r="B43" s="77">
        <f t="shared" si="0"/>
        <v>12</v>
      </c>
      <c r="C43" s="76">
        <f>334+IF(G33="Y",1,0)</f>
        <v>335</v>
      </c>
      <c r="D43" s="77">
        <f t="shared" si="1"/>
        <v>12</v>
      </c>
      <c r="E43" s="76">
        <f>334+IF(I33="Y",1,0)</f>
        <v>335</v>
      </c>
      <c r="F43" s="23"/>
      <c r="G43" s="24"/>
      <c r="H43" s="23"/>
      <c r="I43" s="24"/>
      <c r="J43" s="23"/>
      <c r="K43" s="24"/>
      <c r="L43" s="23"/>
      <c r="M43" s="24"/>
      <c r="N43" s="23"/>
      <c r="O43" s="24"/>
    </row>
    <row r="50" spans="2:15" ht="14" x14ac:dyDescent="0.2">
      <c r="B50" s="131"/>
      <c r="C50" s="132" t="s">
        <v>6</v>
      </c>
      <c r="D50" s="133" t="s">
        <v>100</v>
      </c>
      <c r="E50" s="134" t="s">
        <v>99</v>
      </c>
      <c r="F50" s="135" t="s">
        <v>98</v>
      </c>
      <c r="G50" s="136" t="s">
        <v>97</v>
      </c>
      <c r="H50" s="137"/>
      <c r="I50" s="138" t="s">
        <v>96</v>
      </c>
      <c r="J50" s="132"/>
      <c r="K50" s="139"/>
      <c r="L50" s="137"/>
      <c r="M50" s="122">
        <v>0</v>
      </c>
      <c r="N50" s="123">
        <v>0</v>
      </c>
      <c r="O50" s="124" t="s">
        <v>30</v>
      </c>
    </row>
    <row r="51" spans="2:15" ht="14" x14ac:dyDescent="0.2">
      <c r="B51" s="81">
        <v>1</v>
      </c>
      <c r="C51" s="96" t="s">
        <v>14</v>
      </c>
      <c r="D51" s="140">
        <v>1</v>
      </c>
      <c r="E51" s="141">
        <f>VLOOKUP(Month,Conversion!$C$51:$D$62,2,FALSE)</f>
        <v>5</v>
      </c>
      <c r="F51" s="142" t="s">
        <v>10</v>
      </c>
      <c r="G51" s="143">
        <v>1</v>
      </c>
      <c r="H51" s="137"/>
      <c r="I51" s="81">
        <f>IF(MonthSelected+1&gt;12,1,MonthSelected+1)</f>
        <v>6</v>
      </c>
      <c r="J51" s="96" t="str">
        <f>VLOOKUP(MonthSelected2,$B$51:$C$62,2,FALSE)</f>
        <v>June</v>
      </c>
      <c r="K51" s="94">
        <f>IF(MonthSelected2=1,Year+1,Year)</f>
        <v>2024</v>
      </c>
      <c r="L51" s="144"/>
      <c r="M51" s="125">
        <f t="shared" ref="M51:M58" si="2">M50+45</f>
        <v>45</v>
      </c>
      <c r="N51" s="126">
        <f t="shared" ref="N51:N58" si="3">M51-22.5</f>
        <v>22.5</v>
      </c>
      <c r="O51" s="127" t="s">
        <v>26</v>
      </c>
    </row>
    <row r="52" spans="2:15" ht="14" x14ac:dyDescent="0.2">
      <c r="B52" s="81">
        <v>2</v>
      </c>
      <c r="C52" s="96" t="s">
        <v>15</v>
      </c>
      <c r="D52" s="140">
        <v>2</v>
      </c>
      <c r="E52" s="137"/>
      <c r="F52" s="142" t="s">
        <v>91</v>
      </c>
      <c r="G52" s="143">
        <v>2</v>
      </c>
      <c r="H52" s="137"/>
      <c r="I52" s="81">
        <f t="shared" ref="I52:I61" si="4">IF(I51+1&gt;12,1,I51+1)</f>
        <v>7</v>
      </c>
      <c r="J52" s="96" t="str">
        <f>VLOOKUP(MonthSelected3,$B$51:$C$62,2,FALSE)</f>
        <v>July</v>
      </c>
      <c r="K52" s="94">
        <f>IF(AND(MonthSelected2=12,K51=Year),Year+1,IF(K51=Year+1,Year+1,Year))</f>
        <v>2024</v>
      </c>
      <c r="L52" s="137"/>
      <c r="M52" s="125">
        <f t="shared" si="2"/>
        <v>90</v>
      </c>
      <c r="N52" s="126">
        <f t="shared" si="3"/>
        <v>67.5</v>
      </c>
      <c r="O52" s="127" t="s">
        <v>25</v>
      </c>
    </row>
    <row r="53" spans="2:15" ht="14" x14ac:dyDescent="0.2">
      <c r="B53" s="81">
        <v>3</v>
      </c>
      <c r="C53" s="96" t="s">
        <v>16</v>
      </c>
      <c r="D53" s="140">
        <v>3</v>
      </c>
      <c r="E53" s="137"/>
      <c r="F53" s="142" t="s">
        <v>90</v>
      </c>
      <c r="G53" s="143">
        <v>3</v>
      </c>
      <c r="H53" s="137"/>
      <c r="I53" s="81">
        <f t="shared" si="4"/>
        <v>8</v>
      </c>
      <c r="J53" s="96" t="str">
        <f>VLOOKUP(MonthSelected4,$B$51:$C$62,2,FALSE)</f>
        <v>August</v>
      </c>
      <c r="K53" s="94">
        <f>IF(AND(MonthSelected3=12,K52=Year),Year+1,IF(K52=Year+1,Year+1,Year))</f>
        <v>2024</v>
      </c>
      <c r="L53" s="137"/>
      <c r="M53" s="125">
        <f t="shared" si="2"/>
        <v>135</v>
      </c>
      <c r="N53" s="126">
        <f t="shared" si="3"/>
        <v>112.5</v>
      </c>
      <c r="O53" s="127" t="s">
        <v>27</v>
      </c>
    </row>
    <row r="54" spans="2:15" ht="14" x14ac:dyDescent="0.2">
      <c r="B54" s="81">
        <v>4</v>
      </c>
      <c r="C54" s="96" t="s">
        <v>17</v>
      </c>
      <c r="D54" s="140">
        <v>4</v>
      </c>
      <c r="E54" s="137"/>
      <c r="F54" s="142" t="s">
        <v>89</v>
      </c>
      <c r="G54" s="143">
        <v>4</v>
      </c>
      <c r="H54" s="137"/>
      <c r="I54" s="81">
        <f t="shared" si="4"/>
        <v>9</v>
      </c>
      <c r="J54" s="96" t="str">
        <f>VLOOKUP(MonthSelected5,$B$51:$C$62,2,FALSE)</f>
        <v>September</v>
      </c>
      <c r="K54" s="94">
        <f>IF(AND(MonthSelected4=12,K53=Year),Year+1,IF(K53=Year+1,Year+1,Year))</f>
        <v>2024</v>
      </c>
      <c r="L54" s="137"/>
      <c r="M54" s="125">
        <f t="shared" si="2"/>
        <v>180</v>
      </c>
      <c r="N54" s="126">
        <f t="shared" si="3"/>
        <v>157.5</v>
      </c>
      <c r="O54" s="127" t="s">
        <v>29</v>
      </c>
    </row>
    <row r="55" spans="2:15" ht="14" x14ac:dyDescent="0.2">
      <c r="B55" s="81">
        <v>5</v>
      </c>
      <c r="C55" s="96" t="s">
        <v>8</v>
      </c>
      <c r="D55" s="140">
        <v>5</v>
      </c>
      <c r="E55" s="137"/>
      <c r="F55" s="142" t="s">
        <v>88</v>
      </c>
      <c r="G55" s="143">
        <v>5</v>
      </c>
      <c r="H55" s="137"/>
      <c r="I55" s="81">
        <f t="shared" si="4"/>
        <v>10</v>
      </c>
      <c r="J55" s="96" t="str">
        <f>VLOOKUP(MonthSelected6,$B$51:$C$62,2,FALSE)</f>
        <v>October</v>
      </c>
      <c r="K55" s="94">
        <f>IF(AND(MonthSelected5=12,K54=Year),Year+1,IF(K54=Year+1,Year+1,Year))</f>
        <v>2024</v>
      </c>
      <c r="L55" s="137"/>
      <c r="M55" s="125">
        <f t="shared" si="2"/>
        <v>225</v>
      </c>
      <c r="N55" s="126">
        <f t="shared" si="3"/>
        <v>202.5</v>
      </c>
      <c r="O55" s="127" t="s">
        <v>41</v>
      </c>
    </row>
    <row r="56" spans="2:15" ht="14" x14ac:dyDescent="0.2">
      <c r="B56" s="81">
        <v>6</v>
      </c>
      <c r="C56" s="96" t="s">
        <v>18</v>
      </c>
      <c r="D56" s="140">
        <v>6</v>
      </c>
      <c r="E56" s="137"/>
      <c r="F56" s="142" t="s">
        <v>87</v>
      </c>
      <c r="G56" s="143">
        <v>6</v>
      </c>
      <c r="H56" s="137"/>
      <c r="I56" s="81">
        <f t="shared" si="4"/>
        <v>11</v>
      </c>
      <c r="J56" s="96" t="str">
        <f>VLOOKUP(MonthSelected7,$B$51:$C$62,2,FALSE)</f>
        <v>November</v>
      </c>
      <c r="K56" s="94">
        <f>IF(AND(MonthSelected6=12,K55=Year),Year+1,IF(K55=Year+1,Year+1,Year))</f>
        <v>2024</v>
      </c>
      <c r="L56" s="137"/>
      <c r="M56" s="125">
        <f t="shared" si="2"/>
        <v>270</v>
      </c>
      <c r="N56" s="126">
        <f t="shared" si="3"/>
        <v>247.5</v>
      </c>
      <c r="O56" s="127" t="s">
        <v>28</v>
      </c>
    </row>
    <row r="57" spans="2:15" ht="14" x14ac:dyDescent="0.2">
      <c r="B57" s="81">
        <v>7</v>
      </c>
      <c r="C57" s="96" t="s">
        <v>19</v>
      </c>
      <c r="D57" s="140">
        <v>7</v>
      </c>
      <c r="E57" s="137"/>
      <c r="F57" s="145" t="s">
        <v>86</v>
      </c>
      <c r="G57" s="146">
        <v>7</v>
      </c>
      <c r="H57" s="137"/>
      <c r="I57" s="81">
        <f t="shared" si="4"/>
        <v>12</v>
      </c>
      <c r="J57" s="96" t="str">
        <f>VLOOKUP(MonthSelected8,$B$51:$C$62,2,FALSE)</f>
        <v>December</v>
      </c>
      <c r="K57" s="94">
        <f>IF(AND(MonthSelected7=12,K56=Year),Year+1,IF(K56=Year+1,Year+1,Year))</f>
        <v>2024</v>
      </c>
      <c r="L57" s="137"/>
      <c r="M57" s="125">
        <f t="shared" si="2"/>
        <v>315</v>
      </c>
      <c r="N57" s="126">
        <f t="shared" si="3"/>
        <v>292.5</v>
      </c>
      <c r="O57" s="127" t="s">
        <v>42</v>
      </c>
    </row>
    <row r="58" spans="2:15" ht="14" x14ac:dyDescent="0.2">
      <c r="B58" s="81">
        <v>8</v>
      </c>
      <c r="C58" s="96" t="s">
        <v>12</v>
      </c>
      <c r="D58" s="140">
        <v>8</v>
      </c>
      <c r="E58" s="137"/>
      <c r="F58" s="137"/>
      <c r="G58" s="137"/>
      <c r="H58" s="137"/>
      <c r="I58" s="81">
        <f t="shared" si="4"/>
        <v>1</v>
      </c>
      <c r="J58" s="96" t="str">
        <f>VLOOKUP(MonthSelected9,$B$51:$C$62,2,FALSE)</f>
        <v>January</v>
      </c>
      <c r="K58" s="94">
        <f>IF(AND(MonthSelected8=12,K57=Year),Year+1,IF(K57=Year+1,Year+1,Year))</f>
        <v>2025</v>
      </c>
      <c r="L58" s="137"/>
      <c r="M58" s="128">
        <f t="shared" si="2"/>
        <v>360</v>
      </c>
      <c r="N58" s="129">
        <f t="shared" si="3"/>
        <v>337.5</v>
      </c>
      <c r="O58" s="130" t="s">
        <v>30</v>
      </c>
    </row>
    <row r="59" spans="2:15" ht="14" x14ac:dyDescent="0.2">
      <c r="B59" s="81">
        <v>9</v>
      </c>
      <c r="C59" s="96" t="s">
        <v>20</v>
      </c>
      <c r="D59" s="140">
        <v>9</v>
      </c>
      <c r="E59" s="137"/>
      <c r="F59" s="137"/>
      <c r="G59" s="137"/>
      <c r="H59" s="137"/>
      <c r="I59" s="81">
        <f t="shared" si="4"/>
        <v>2</v>
      </c>
      <c r="J59" s="96" t="str">
        <f>VLOOKUP(Monthselected10,$B$51:$C$62,2,FALSE)</f>
        <v>February</v>
      </c>
      <c r="K59" s="94">
        <f>IF(AND(MonthSelected9=12,K58=Year),Year+1,IF(K58=Year+1,Year+1,Year))</f>
        <v>2025</v>
      </c>
      <c r="L59" s="137"/>
      <c r="M59" s="137"/>
      <c r="N59" s="137"/>
      <c r="O59" s="137"/>
    </row>
    <row r="60" spans="2:15" ht="14" x14ac:dyDescent="0.2">
      <c r="B60" s="81">
        <v>10</v>
      </c>
      <c r="C60" s="96" t="s">
        <v>21</v>
      </c>
      <c r="D60" s="140">
        <v>10</v>
      </c>
      <c r="E60" s="137"/>
      <c r="F60" s="137"/>
      <c r="G60" s="137"/>
      <c r="H60" s="137"/>
      <c r="I60" s="81">
        <f t="shared" si="4"/>
        <v>3</v>
      </c>
      <c r="J60" s="96" t="str">
        <f>VLOOKUP(MonthSelected11,$B$51:$C$62,2,FALSE)</f>
        <v>March</v>
      </c>
      <c r="K60" s="94">
        <f>IF(AND(Monthselected10=12,K59=Year),Year+1,IF(K59=Year+1,Year+1,Year))</f>
        <v>2025</v>
      </c>
      <c r="L60" s="137"/>
      <c r="M60" s="137"/>
      <c r="N60" s="137"/>
      <c r="O60" s="137"/>
    </row>
    <row r="61" spans="2:15" ht="14" x14ac:dyDescent="0.2">
      <c r="B61" s="81">
        <v>11</v>
      </c>
      <c r="C61" s="96" t="s">
        <v>22</v>
      </c>
      <c r="D61" s="140">
        <v>11</v>
      </c>
      <c r="E61" s="137"/>
      <c r="F61" s="137"/>
      <c r="G61" s="137"/>
      <c r="H61" s="137"/>
      <c r="I61" s="92">
        <f t="shared" si="4"/>
        <v>4</v>
      </c>
      <c r="J61" s="147" t="str">
        <f>VLOOKUP(MonthSelected12,$B$51:$C$62,2,FALSE)</f>
        <v>April</v>
      </c>
      <c r="K61" s="141">
        <f>IF(AND(MonthSelected11=12,K60=Year),Year+1,IF(K60=Year+1,Year+1,Year))</f>
        <v>2025</v>
      </c>
      <c r="L61" s="137"/>
      <c r="M61" s="137"/>
      <c r="N61" s="137"/>
      <c r="O61" s="137"/>
    </row>
    <row r="62" spans="2:15" ht="14" x14ac:dyDescent="0.2">
      <c r="B62" s="92">
        <v>12</v>
      </c>
      <c r="C62" s="147" t="s">
        <v>23</v>
      </c>
      <c r="D62" s="140">
        <v>12</v>
      </c>
      <c r="E62" s="137"/>
      <c r="F62" s="137"/>
      <c r="G62" s="137"/>
      <c r="H62" s="137"/>
      <c r="I62" s="137"/>
      <c r="J62" s="137"/>
      <c r="K62" s="137"/>
      <c r="L62" s="137"/>
      <c r="M62" s="137"/>
      <c r="N62" s="137"/>
      <c r="O62" s="137"/>
    </row>
    <row r="63" spans="2:15" ht="14" x14ac:dyDescent="0.2">
      <c r="B63" s="137"/>
      <c r="C63" s="137"/>
      <c r="D63" s="140">
        <v>13</v>
      </c>
      <c r="E63" s="137"/>
      <c r="F63" s="137"/>
      <c r="G63" s="137"/>
      <c r="H63" s="137"/>
      <c r="I63" s="137"/>
      <c r="J63" s="137"/>
      <c r="K63" s="137"/>
      <c r="L63" s="137"/>
      <c r="M63" s="137"/>
      <c r="N63" s="137"/>
      <c r="O63" s="137"/>
    </row>
    <row r="64" spans="2:15" ht="14" x14ac:dyDescent="0.2">
      <c r="B64" s="137"/>
      <c r="C64" s="137"/>
      <c r="D64" s="140">
        <v>14</v>
      </c>
      <c r="E64" s="137"/>
      <c r="F64" s="137"/>
      <c r="G64" s="137"/>
      <c r="H64" s="137"/>
      <c r="I64" s="137"/>
      <c r="J64" s="137"/>
      <c r="K64" s="137"/>
      <c r="L64" s="137"/>
      <c r="M64" s="137"/>
      <c r="N64" s="137"/>
      <c r="O64" s="137"/>
    </row>
    <row r="65" spans="2:15" ht="14" x14ac:dyDescent="0.2">
      <c r="B65" s="137"/>
      <c r="C65" s="137"/>
      <c r="D65" s="140">
        <v>15</v>
      </c>
      <c r="E65" s="137"/>
      <c r="F65" s="137"/>
      <c r="G65" s="137"/>
      <c r="H65" s="137"/>
      <c r="I65" s="137"/>
      <c r="J65" s="137"/>
      <c r="K65" s="137"/>
      <c r="L65" s="137"/>
      <c r="M65" s="137"/>
      <c r="N65" s="137"/>
      <c r="O65" s="137"/>
    </row>
    <row r="66" spans="2:15" ht="14" x14ac:dyDescent="0.2">
      <c r="B66" s="137"/>
      <c r="C66" s="137"/>
      <c r="D66" s="140">
        <v>16</v>
      </c>
      <c r="E66" s="137"/>
      <c r="F66" s="137"/>
      <c r="G66" s="137"/>
      <c r="H66" s="137"/>
      <c r="I66" s="137"/>
      <c r="J66" s="137"/>
      <c r="K66" s="137"/>
      <c r="L66" s="137"/>
      <c r="M66" s="137"/>
      <c r="N66" s="137"/>
      <c r="O66" s="137"/>
    </row>
    <row r="67" spans="2:15" ht="14" x14ac:dyDescent="0.2">
      <c r="B67" s="137"/>
      <c r="C67" s="137"/>
      <c r="D67" s="140">
        <v>17</v>
      </c>
      <c r="E67" s="137"/>
      <c r="F67" s="137"/>
      <c r="G67" s="137"/>
      <c r="H67" s="137"/>
      <c r="I67" s="137"/>
      <c r="J67" s="137"/>
      <c r="K67" s="137"/>
      <c r="L67" s="137"/>
      <c r="M67" s="137"/>
      <c r="N67" s="137"/>
      <c r="O67" s="137"/>
    </row>
    <row r="68" spans="2:15" ht="14" x14ac:dyDescent="0.2">
      <c r="B68" s="137"/>
      <c r="C68" s="137"/>
      <c r="D68" s="140">
        <v>18</v>
      </c>
      <c r="E68" s="137"/>
      <c r="F68" s="137"/>
      <c r="G68" s="137"/>
      <c r="H68" s="137"/>
      <c r="I68" s="137"/>
      <c r="J68" s="137"/>
      <c r="K68" s="137"/>
      <c r="L68" s="137"/>
      <c r="M68" s="137"/>
      <c r="N68" s="137"/>
      <c r="O68" s="137"/>
    </row>
    <row r="69" spans="2:15" ht="14" x14ac:dyDescent="0.2">
      <c r="B69" s="137"/>
      <c r="C69" s="137"/>
      <c r="D69" s="140">
        <v>19</v>
      </c>
      <c r="E69" s="137"/>
      <c r="F69" s="137"/>
      <c r="G69" s="137"/>
      <c r="H69" s="137"/>
      <c r="I69" s="137"/>
      <c r="J69" s="137"/>
      <c r="K69" s="137"/>
      <c r="L69" s="137"/>
      <c r="M69" s="137"/>
      <c r="N69" s="137"/>
      <c r="O69" s="137"/>
    </row>
    <row r="70" spans="2:15" ht="14" x14ac:dyDescent="0.2">
      <c r="B70" s="137"/>
      <c r="C70" s="137"/>
      <c r="D70" s="140">
        <v>20</v>
      </c>
      <c r="E70" s="137"/>
      <c r="F70" s="137"/>
      <c r="G70" s="137"/>
      <c r="H70" s="137"/>
      <c r="I70" s="137"/>
      <c r="J70" s="137"/>
      <c r="K70" s="137"/>
      <c r="L70" s="137"/>
      <c r="M70" s="137"/>
      <c r="N70" s="137"/>
      <c r="O70" s="137"/>
    </row>
    <row r="71" spans="2:15" ht="14" x14ac:dyDescent="0.2">
      <c r="B71" s="137"/>
      <c r="C71" s="137"/>
      <c r="D71" s="140">
        <v>21</v>
      </c>
      <c r="E71" s="137"/>
      <c r="F71" s="137"/>
      <c r="G71" s="137"/>
      <c r="H71" s="137"/>
      <c r="I71" s="137"/>
      <c r="J71" s="137"/>
      <c r="K71" s="137"/>
      <c r="L71" s="137"/>
      <c r="M71" s="137"/>
      <c r="N71" s="137"/>
      <c r="O71" s="137"/>
    </row>
    <row r="72" spans="2:15" ht="14" x14ac:dyDescent="0.2">
      <c r="B72" s="137"/>
      <c r="C72" s="137"/>
      <c r="D72" s="140">
        <v>22</v>
      </c>
      <c r="E72" s="137"/>
      <c r="F72" s="137"/>
      <c r="G72" s="137"/>
      <c r="H72" s="137"/>
      <c r="I72" s="137"/>
      <c r="J72" s="137"/>
      <c r="K72" s="137"/>
      <c r="L72" s="137"/>
      <c r="M72" s="137"/>
      <c r="N72" s="137"/>
      <c r="O72" s="137"/>
    </row>
    <row r="73" spans="2:15" ht="14" x14ac:dyDescent="0.2">
      <c r="B73" s="137"/>
      <c r="C73" s="137"/>
      <c r="D73" s="140">
        <v>23</v>
      </c>
      <c r="E73" s="137"/>
      <c r="F73" s="137"/>
      <c r="G73" s="137"/>
      <c r="H73" s="137"/>
      <c r="I73" s="137"/>
      <c r="J73" s="137"/>
      <c r="K73" s="137"/>
      <c r="L73" s="137"/>
      <c r="M73" s="137"/>
      <c r="N73" s="137"/>
      <c r="O73" s="137"/>
    </row>
    <row r="74" spans="2:15" ht="14" x14ac:dyDescent="0.2">
      <c r="B74" s="137"/>
      <c r="C74" s="137"/>
      <c r="D74" s="140">
        <v>24</v>
      </c>
      <c r="E74" s="137"/>
      <c r="F74" s="137"/>
      <c r="G74" s="137"/>
      <c r="H74" s="137"/>
      <c r="I74" s="137"/>
      <c r="J74" s="137"/>
      <c r="K74" s="137"/>
      <c r="L74" s="137"/>
      <c r="M74" s="137"/>
      <c r="N74" s="137"/>
      <c r="O74" s="137"/>
    </row>
    <row r="75" spans="2:15" ht="14" x14ac:dyDescent="0.2">
      <c r="B75" s="137"/>
      <c r="C75" s="137"/>
      <c r="D75" s="140">
        <v>25</v>
      </c>
      <c r="E75" s="137"/>
      <c r="F75" s="137"/>
      <c r="G75" s="137"/>
      <c r="H75" s="137"/>
      <c r="I75" s="137"/>
      <c r="J75" s="137"/>
      <c r="K75" s="137"/>
      <c r="L75" s="137"/>
      <c r="M75" s="137"/>
      <c r="N75" s="137"/>
      <c r="O75" s="137"/>
    </row>
    <row r="76" spans="2:15" ht="14" x14ac:dyDescent="0.2">
      <c r="B76" s="137"/>
      <c r="C76" s="137"/>
      <c r="D76" s="140">
        <v>26</v>
      </c>
      <c r="E76" s="137"/>
      <c r="F76" s="137"/>
      <c r="G76" s="137"/>
      <c r="H76" s="137"/>
      <c r="I76" s="137"/>
      <c r="J76" s="137"/>
      <c r="K76" s="137"/>
      <c r="L76" s="137"/>
      <c r="M76" s="137"/>
      <c r="N76" s="137"/>
      <c r="O76" s="137"/>
    </row>
    <row r="77" spans="2:15" ht="14" x14ac:dyDescent="0.2">
      <c r="B77" s="137"/>
      <c r="C77" s="137"/>
      <c r="D77" s="140">
        <v>27</v>
      </c>
      <c r="E77" s="137"/>
      <c r="F77" s="137"/>
      <c r="G77" s="137"/>
      <c r="H77" s="137"/>
      <c r="I77" s="137"/>
      <c r="J77" s="137"/>
      <c r="K77" s="137"/>
      <c r="L77" s="137"/>
      <c r="M77" s="137"/>
      <c r="N77" s="137"/>
      <c r="O77" s="137"/>
    </row>
    <row r="78" spans="2:15" ht="14" x14ac:dyDescent="0.2">
      <c r="B78" s="137"/>
      <c r="C78" s="137"/>
      <c r="D78" s="140">
        <v>28</v>
      </c>
      <c r="E78" s="137"/>
      <c r="F78" s="137"/>
      <c r="G78" s="137"/>
      <c r="H78" s="137"/>
      <c r="I78" s="137"/>
      <c r="J78" s="137"/>
      <c r="K78" s="137"/>
      <c r="L78" s="137"/>
      <c r="M78" s="137"/>
      <c r="N78" s="137"/>
      <c r="O78" s="137"/>
    </row>
    <row r="79" spans="2:15" ht="14" x14ac:dyDescent="0.2">
      <c r="B79" s="137"/>
      <c r="C79" s="137"/>
      <c r="D79" s="140">
        <v>29</v>
      </c>
      <c r="E79" s="137"/>
      <c r="F79" s="137"/>
      <c r="G79" s="137"/>
      <c r="H79" s="137"/>
      <c r="I79" s="137"/>
      <c r="J79" s="137"/>
      <c r="K79" s="137"/>
      <c r="L79" s="137"/>
      <c r="M79" s="137"/>
      <c r="N79" s="137"/>
      <c r="O79" s="137"/>
    </row>
    <row r="80" spans="2:15" ht="14" x14ac:dyDescent="0.2">
      <c r="B80" s="137"/>
      <c r="C80" s="137"/>
      <c r="D80" s="140">
        <v>30</v>
      </c>
      <c r="E80" s="137"/>
      <c r="F80" s="137"/>
      <c r="G80" s="137"/>
      <c r="H80" s="137"/>
      <c r="I80" s="137"/>
      <c r="J80" s="137"/>
      <c r="K80" s="137"/>
      <c r="L80" s="137"/>
      <c r="M80" s="137"/>
      <c r="N80" s="137"/>
      <c r="O80" s="137"/>
    </row>
    <row r="81" spans="2:15" ht="14" x14ac:dyDescent="0.2">
      <c r="B81" s="137"/>
      <c r="C81" s="137"/>
      <c r="D81" s="148">
        <v>31</v>
      </c>
      <c r="E81" s="137"/>
      <c r="F81" s="137"/>
      <c r="G81" s="137"/>
      <c r="H81" s="137"/>
      <c r="I81" s="137"/>
      <c r="J81" s="137"/>
      <c r="K81" s="137"/>
      <c r="L81" s="137"/>
      <c r="M81" s="137"/>
      <c r="N81" s="137"/>
      <c r="O81" s="137"/>
    </row>
  </sheetData>
  <sheetProtection sheet="1" objects="1" scenarios="1"/>
  <mergeCells count="12">
    <mergeCell ref="B2:C2"/>
    <mergeCell ref="D2:E2"/>
    <mergeCell ref="N2:O2"/>
    <mergeCell ref="N28:O28"/>
    <mergeCell ref="F2:G2"/>
    <mergeCell ref="H2:I2"/>
    <mergeCell ref="J2:K2"/>
    <mergeCell ref="L2:M2"/>
    <mergeCell ref="F28:G28"/>
    <mergeCell ref="H28:I28"/>
    <mergeCell ref="J28:K28"/>
    <mergeCell ref="L28:M28"/>
  </mergeCells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11B36E0-9CFF-E049-A890-6A4CAAF99A1F}">
            <xm:f>'Moon Phases'!$K$23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m:sqref>O50:O58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23C782-4A23-994C-9AA7-87480B807051}">
  <dimension ref="A1"/>
  <sheetViews>
    <sheetView showGridLines="0" topLeftCell="A47" workbookViewId="0">
      <selection activeCell="L41" sqref="L41"/>
    </sheetView>
  </sheetViews>
  <sheetFormatPr baseColWidth="10" defaultRowHeight="16" x14ac:dyDescent="0.2"/>
  <sheetData/>
  <sheetProtection sheet="1" objects="1" scenarios="1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18</vt:i4>
      </vt:variant>
    </vt:vector>
  </HeadingPairs>
  <TitlesOfParts>
    <vt:vector size="23" baseType="lpstr">
      <vt:lpstr>Introduction</vt:lpstr>
      <vt:lpstr>Moon Phases</vt:lpstr>
      <vt:lpstr>Calculations</vt:lpstr>
      <vt:lpstr>Conversion</vt:lpstr>
      <vt:lpstr>Background</vt:lpstr>
      <vt:lpstr>Days</vt:lpstr>
      <vt:lpstr>KeyDates</vt:lpstr>
      <vt:lpstr>Month</vt:lpstr>
      <vt:lpstr>Months</vt:lpstr>
      <vt:lpstr>MonthSelected</vt:lpstr>
      <vt:lpstr>Monthselected10</vt:lpstr>
      <vt:lpstr>MonthSelected11</vt:lpstr>
      <vt:lpstr>MonthSelected12</vt:lpstr>
      <vt:lpstr>MonthSelected2</vt:lpstr>
      <vt:lpstr>MonthSelected3</vt:lpstr>
      <vt:lpstr>MonthSelected4</vt:lpstr>
      <vt:lpstr>MonthSelected5</vt:lpstr>
      <vt:lpstr>MonthSelected6</vt:lpstr>
      <vt:lpstr>MonthSelected7</vt:lpstr>
      <vt:lpstr>MonthSelected8</vt:lpstr>
      <vt:lpstr>MonthSelected9</vt:lpstr>
      <vt:lpstr>'Moon Phases'!Print_Area</vt:lpstr>
      <vt:lpstr>Year</vt:lpstr>
    </vt:vector>
  </TitlesOfParts>
  <Manager/>
  <Company>Astronomy Morsels</Company>
  <LinksUpToDate>false</LinksUpToDate>
  <SharedDoc>false</SharedDoc>
  <HyperlinkBase>www.astronomy-morsels.ch</HyperlinkBase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Moon Phases</dc:title>
  <dc:subject/>
  <dc:creator>Anton Viola</dc:creator>
  <cp:keywords/>
  <dc:description/>
  <cp:lastModifiedBy>Anton Viola</cp:lastModifiedBy>
  <dcterms:created xsi:type="dcterms:W3CDTF">2016-06-12T12:50:56Z</dcterms:created>
  <dcterms:modified xsi:type="dcterms:W3CDTF">2024-05-06T12:49:35Z</dcterms:modified>
  <cp:category/>
</cp:coreProperties>
</file>